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P1ogIxJ9eQt/ii5wL3IAPk0s11PKL+jTri0hwGEB2VArXXo20Ff/+noJNJ13I2yBdPyoHnmSqUUuP4UsZcRTQ==" workbookSaltValue="8vF6KFjPONkp540LbBS0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F25" i="2" s="1"/>
  <c r="G25" i="2"/>
  <c r="I25" i="2"/>
  <c r="A26" i="2"/>
  <c r="A27" i="2"/>
  <c r="A28" i="2"/>
  <c r="C28" i="2"/>
  <c r="D28" i="2" s="1"/>
  <c r="E28" i="2"/>
  <c r="F28" i="2" s="1"/>
  <c r="G28" i="2"/>
  <c r="H28" i="2" s="1"/>
  <c r="I28" i="2"/>
  <c r="A29" i="2"/>
  <c r="B29" i="2"/>
  <c r="C29" i="2"/>
  <c r="D29" i="2" s="1"/>
  <c r="E29" i="2"/>
  <c r="G29" i="2"/>
  <c r="B29" i="6"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I10" i="7" s="1"/>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I11" i="7" s="1"/>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17" i="10"/>
  <c r="L9" i="14"/>
  <c r="J9" i="2"/>
  <c r="BI16" i="16"/>
  <c r="AN16" i="11"/>
  <c r="B16" i="6"/>
  <c r="Y12" i="11"/>
  <c r="E14" i="21"/>
  <c r="T10" i="21"/>
  <c r="AL14" i="21"/>
  <c r="E23" i="2"/>
  <c r="AO16" i="11"/>
  <c r="H30" i="3"/>
  <c r="BI18" i="16"/>
  <c r="G17" i="3"/>
  <c r="AO17" i="11"/>
  <c r="D17" i="2"/>
  <c r="E16" i="6"/>
  <c r="C16" i="6"/>
  <c r="I16" i="12" s="1"/>
  <c r="Y25" i="11"/>
  <c r="W26" i="11"/>
  <c r="F10" i="10"/>
  <c r="E28" i="3"/>
  <c r="D26" i="14"/>
  <c r="D11" i="2"/>
  <c r="B19" i="6"/>
  <c r="AO10" i="11"/>
  <c r="B10" i="6"/>
  <c r="AL13" i="11"/>
  <c r="E13" i="6"/>
  <c r="H10" i="2"/>
  <c r="C13" i="6"/>
  <c r="AO19" i="11"/>
  <c r="F19" i="2"/>
  <c r="D19" i="6"/>
  <c r="J19" i="12" s="1"/>
  <c r="J19" i="7"/>
  <c r="H19" i="2"/>
  <c r="AN19" i="11"/>
  <c r="C19" i="6"/>
  <c r="I19" i="12" s="1"/>
  <c r="Y9" i="11"/>
  <c r="W14" i="11"/>
  <c r="F9" i="12"/>
  <c r="F12" i="2"/>
  <c r="AN10" i="11"/>
  <c r="J22" i="2"/>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11" i="16"/>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AN18" i="11"/>
  <c r="J21" i="2"/>
  <c r="F9" i="2"/>
  <c r="B11" i="6"/>
  <c r="N26" i="2"/>
  <c r="L11" i="14"/>
  <c r="H18" i="2"/>
  <c r="H16" i="2"/>
  <c r="M14" i="2"/>
  <c r="M23" i="2"/>
  <c r="N14" i="2"/>
  <c r="AO18" i="17"/>
  <c r="K18" i="7"/>
  <c r="C18" i="6"/>
  <c r="AL11" i="11"/>
  <c r="L18" i="14"/>
  <c r="B18" i="6"/>
  <c r="J29" i="2"/>
  <c r="AO11" i="11"/>
  <c r="D18" i="2"/>
  <c r="AO9" i="11"/>
  <c r="L20" i="14"/>
  <c r="G26" i="2"/>
  <c r="D18" i="6"/>
  <c r="J18" i="12" s="1"/>
  <c r="AO12" i="11"/>
  <c r="N23" i="2"/>
  <c r="K30" i="2"/>
  <c r="J20" i="2"/>
  <c r="H12" i="2"/>
  <c r="G14" i="2"/>
  <c r="H14" i="2" s="1"/>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J16" i="7"/>
  <c r="BL18" i="16"/>
  <c r="Z23" i="16"/>
  <c r="AA23" i="16" s="1"/>
  <c r="BF14" i="16"/>
  <c r="BL19" i="16"/>
  <c r="AP14" i="16"/>
  <c r="AL31" i="16"/>
  <c r="BK14" i="16"/>
  <c r="O23" i="16"/>
  <c r="O26" i="16" s="1"/>
  <c r="R26" i="16"/>
  <c r="AA9" i="16"/>
  <c r="AB14" i="16"/>
  <c r="G14" i="16"/>
  <c r="BD14" i="16"/>
  <c r="AB26" i="16"/>
  <c r="BE14" i="16"/>
  <c r="F16" i="16"/>
  <c r="BL16" i="16" s="1"/>
  <c r="V25" i="16"/>
  <c r="V9" i="16"/>
  <c r="BL28" i="16"/>
  <c r="K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AR23" i="11" l="1"/>
  <c r="AV23" i="21"/>
  <c r="H31" i="12"/>
  <c r="D16" i="6"/>
  <c r="J23" i="2"/>
  <c r="I11" i="12"/>
  <c r="BF11" i="8"/>
  <c r="J11" i="7" s="1"/>
  <c r="F31" i="7"/>
  <c r="B25" i="6"/>
  <c r="K29" i="7"/>
  <c r="AL25" i="11"/>
  <c r="B14" i="6"/>
  <c r="AL29" i="11"/>
  <c r="AL28" i="11"/>
  <c r="AL14" i="11"/>
  <c r="F23" i="2"/>
  <c r="H11" i="2"/>
  <c r="P25" i="11"/>
  <c r="BE11"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G33" i="11" s="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E31" i="2"/>
  <c r="AI31" i="11"/>
  <c r="BT14" i="16"/>
  <c r="BI23" i="16"/>
  <c r="D31" i="12"/>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G31" i="11" l="1"/>
  <c r="G33" i="20"/>
  <c r="G31" i="20"/>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AS32" i="17"/>
  <c r="AD32" i="17"/>
  <c r="AN32" i="16"/>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BH32" i="16"/>
  <c r="Q32" i="21"/>
  <c r="AL32" i="11"/>
  <c r="AF32" i="11"/>
  <c r="E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BL31" i="1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<sst xmlns="http://schemas.openxmlformats.org/spreadsheetml/2006/main" count="2604" uniqueCount="1149">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</sst>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3" t="s">
        <v>140</v>
      </c>
      <c r="B3" s="1544"/>
      <c r="C3" s="1544"/>
      <c r="D3" s="1545"/>
      <c r="E3" s="413"/>
      <c r="F3" s="2"/>
      <c r="Q3" s="392">
        <v>1</v>
      </c>
      <c r="R3" s="392">
        <v>3</v>
      </c>
      <c r="S3" t="b">
        <f>AND(Q3&gt;=TrimIni,Q3&lt;=TrimFin)</f>
        <v>1</v>
      </c>
    </row>
    <row r="4" spans="1:19" ht="22.5" customHeight="1" thickBot="1">
      <c r="A4" s="414" t="s">
        <v>1142</v>
      </c>
      <c r="B4" s="413"/>
      <c r="C4" s="413"/>
      <c r="D4" s="413"/>
      <c r="E4" s="413"/>
      <c r="F4" s="2"/>
      <c r="Q4" s="392">
        <v>2</v>
      </c>
      <c r="R4" s="392">
        <v>3</v>
      </c>
      <c r="S4" t="b">
        <f>AND(Q4&gt;=TrimIni,Q4&lt;=TrimFin)</f>
        <v>1</v>
      </c>
    </row>
    <row r="5" spans="1:19" ht="15.75" thickBot="1">
      <c r="A5" s="415" t="s">
        <v>52</v>
      </c>
      <c r="B5" s="416">
        <v>2021</v>
      </c>
      <c r="C5" s="417" t="s">
        <v>273</v>
      </c>
      <c r="D5" s="418">
        <v>1</v>
      </c>
      <c r="E5" s="419"/>
      <c r="F5" s="3"/>
      <c r="H5" t="s">
        <v>539</v>
      </c>
      <c r="Q5" s="392">
        <v>3</v>
      </c>
      <c r="R5" s="392">
        <v>2</v>
      </c>
      <c r="S5" t="b">
        <f>AND(Q5&gt;=TrimIni,Q5&lt;=TrimFin)</f>
        <v>1</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1143</v>
      </c>
      <c r="B9" s="422" t="s">
        <v>1144</v>
      </c>
      <c r="C9" s="419"/>
      <c r="D9" s="419"/>
      <c r="E9" s="428"/>
      <c r="F9" s="3"/>
    </row>
    <row r="10" spans="1:19">
      <c r="A10" s="427" t="s">
        <v>1145</v>
      </c>
      <c r="B10" s="419" t="s">
        <v>1146</v>
      </c>
      <c r="C10" s="419"/>
      <c r="D10" s="419"/>
      <c r="E10" s="428"/>
      <c r="F10" s="3"/>
      <c r="Q10" s="392">
        <v>0</v>
      </c>
    </row>
    <row r="11" spans="1:19" ht="13.5" thickBot="1">
      <c r="A11" s="429" t="s">
        <v>1147</v>
      </c>
      <c r="B11" s="430" t="s">
        <v>1148</v>
      </c>
      <c r="C11" s="430"/>
      <c r="D11" s="430"/>
      <c r="E11" s="431"/>
      <c r="F11" s="3"/>
    </row>
    <row r="12" spans="1:19" ht="40.5" customHeight="1" thickBot="1">
      <c r="A12" s="421"/>
      <c r="B12" s="419"/>
      <c r="C12" s="419"/>
      <c r="D12" s="419"/>
      <c r="E12" s="419"/>
      <c r="F12" s="3"/>
      <c r="Q12" s="1474"/>
    </row>
    <row r="13" spans="1:19" ht="15">
      <c r="A13" s="432" t="s">
        <v>165</v>
      </c>
      <c r="B13" s="433" t="s">
        <v>84</v>
      </c>
      <c r="C13" s="1082" t="s">
        <v>927</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VxCiwY3FNYMO0rnwkVrWcl6ZwySschsp9NNNAVVcqslCz5Qvx12qQxPr1EY45GwiloVecL7r2Oh1+mOekxBODQ==" saltValue="U6IWGpLXGuNMuXyV1AHv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463</v>
      </c>
      <c r="E3" s="584"/>
    </row>
    <row r="4" spans="1:31" s="537" customFormat="1" ht="15.75" thickBot="1">
      <c r="A4" s="1451" t="s">
        <v>468</v>
      </c>
      <c r="B4" s="1463" t="str">
        <f>Criterios!B9</f>
        <v>CATALUÑA</v>
      </c>
      <c r="C4" s="1452"/>
      <c r="D4" s="1452"/>
      <c r="E4" s="1453"/>
      <c r="F4" s="1452"/>
      <c r="G4" s="668"/>
      <c r="H4" s="1696" t="s">
        <v>469</v>
      </c>
      <c r="I4" s="1697"/>
      <c r="J4" s="1697"/>
      <c r="K4" s="1697"/>
      <c r="L4" s="1697"/>
      <c r="M4" s="1454"/>
      <c r="N4" s="1696" t="s">
        <v>470</v>
      </c>
      <c r="O4" s="1697"/>
      <c r="P4" s="1697"/>
      <c r="Q4" s="1697"/>
      <c r="R4" s="1697"/>
      <c r="S4" s="1697"/>
      <c r="T4" s="1697"/>
      <c r="U4" s="1697"/>
      <c r="V4" s="1697"/>
      <c r="W4" s="1697"/>
      <c r="X4" s="1697"/>
      <c r="Y4" s="1697"/>
      <c r="Z4" s="1697"/>
      <c r="AA4" s="1697"/>
      <c r="AB4" s="1697"/>
      <c r="AC4" s="1697"/>
      <c r="AD4" s="1698"/>
    </row>
    <row r="5" spans="1:31" s="537" customFormat="1" ht="15.75" customHeight="1">
      <c r="A5" s="1710" t="s">
        <v>459</v>
      </c>
      <c r="B5" s="1712" t="str">
        <f>"Año:  " &amp;Criterios!B5 &amp; "      Trimestre   " &amp;Criterios!D5 &amp; " al " &amp;Criterios!D6</f>
        <v>Año:  2021      Trimestre   1 al 4</v>
      </c>
      <c r="C5" s="1716" t="s">
        <v>332</v>
      </c>
      <c r="D5" s="1718" t="s">
        <v>169</v>
      </c>
      <c r="E5" s="1718" t="s">
        <v>123</v>
      </c>
      <c r="F5" s="1720" t="s">
        <v>14</v>
      </c>
      <c r="G5" s="1702"/>
      <c r="H5" s="1699" t="s">
        <v>464</v>
      </c>
      <c r="I5" s="1722" t="s">
        <v>466</v>
      </c>
      <c r="J5" s="1699" t="s">
        <v>465</v>
      </c>
      <c r="K5" s="1701" t="s">
        <v>381</v>
      </c>
      <c r="L5" s="1701" t="s">
        <v>467</v>
      </c>
      <c r="M5" s="1701" t="s">
        <v>461</v>
      </c>
      <c r="N5" s="1686"/>
      <c r="O5" s="1687"/>
      <c r="P5" s="582"/>
      <c r="Q5" s="1690" t="s">
        <v>591</v>
      </c>
      <c r="R5" s="1691"/>
      <c r="S5" s="1692"/>
      <c r="T5" s="1704"/>
      <c r="U5" s="1705"/>
      <c r="V5" s="1706"/>
      <c r="W5" s="1690" t="s">
        <v>343</v>
      </c>
      <c r="X5" s="1691"/>
      <c r="Y5" s="1691"/>
      <c r="Z5" s="1692"/>
      <c r="AA5" s="1690" t="s">
        <v>586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287</v>
      </c>
      <c r="O7" s="1457" t="s">
        <v>502</v>
      </c>
      <c r="P7" s="1458" t="s">
        <v>503</v>
      </c>
      <c r="Q7" s="1459" t="s">
        <v>504</v>
      </c>
      <c r="R7" s="1458" t="s">
        <v>495</v>
      </c>
      <c r="S7" s="1459" t="s">
        <v>1134</v>
      </c>
      <c r="T7" s="1526" t="s">
        <v>1135</v>
      </c>
      <c r="U7" s="1526" t="s">
        <v>1136</v>
      </c>
      <c r="V7" s="1526" t="s">
        <v>1137</v>
      </c>
      <c r="W7" s="1457" t="s">
        <v>587</v>
      </c>
      <c r="X7" s="1541" t="s">
        <v>1139</v>
      </c>
      <c r="Y7" s="1541" t="s">
        <v>1140</v>
      </c>
      <c r="Z7" s="1542" t="s">
        <v>1141</v>
      </c>
      <c r="AA7" s="1460" t="s">
        <v>587</v>
      </c>
      <c r="AB7" s="1461" t="s">
        <v>588</v>
      </c>
      <c r="AC7" s="1461" t="s">
        <v>589</v>
      </c>
      <c r="AD7" s="1462" t="s">
        <v>590</v>
      </c>
      <c r="AE7" s="1462" t="s">
        <v>1132</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8</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12.862557562876372</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112</v>
      </c>
      <c r="D10" s="239">
        <f>IF(ISNUMBER(Datos!I10),Datos!I10," - ")</f>
        <v>112</v>
      </c>
      <c r="E10" s="240">
        <f>IF(ISNUMBER(Datos!J10),Datos!J10," - ")</f>
        <v>202</v>
      </c>
      <c r="F10" s="240">
        <f>IF(ISNUMBER(Datos!K10),Datos!K10," - ")</f>
        <v>195</v>
      </c>
      <c r="G10" s="1392" t="str">
        <f>IF(Datos!E10&lt;&gt;"",Datos!E10,Datos!D10)</f>
        <v>37</v>
      </c>
      <c r="H10" s="241">
        <f>IF(ISNUMBER(Datos!L10),Datos!L10," - ")</f>
        <v>119</v>
      </c>
      <c r="I10" s="1402" t="str">
        <f>IF(ISNUMBER(Datos!AS10/Datos!BM10),Datos!AS10/Datos!BM10," - ")</f>
        <v xml:space="preserve"> - </v>
      </c>
      <c r="J10" s="1403">
        <f>IF(ISNUMBER(Datos!BY10/Datos!CN10),Datos!BY10/Datos!CN10," - ")</f>
        <v>0</v>
      </c>
      <c r="K10" s="244">
        <f t="shared" ref="K10:K13" si="1">IF(ISNUMBER((E10-F10)/C10),(E10-F10)/C10," - ")</f>
        <v>6.25E-2</v>
      </c>
      <c r="L10" s="1404">
        <f>IF(ISNUMBER(NºAsuntos!I10/NºAsuntos!G10),(NºAsuntos!I10/NºAsuntos!G10)*11," - ")</f>
        <v>6.7128205128205138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2</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4.4763888888888888</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112</v>
      </c>
      <c r="D14" s="1409">
        <f>SUBTOTAL(9,D9:D13)</f>
        <v>112</v>
      </c>
      <c r="E14" s="1410">
        <f>SUBTOTAL(9,E9:E13)</f>
        <v>202</v>
      </c>
      <c r="F14" s="1411">
        <f>SUBTOTAL(9,F9:F13)</f>
        <v>195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5</v>
      </c>
      <c r="B16" s="1464" t="str">
        <f>Datos!A16</f>
        <v xml:space="preserve">Jdos. Instrucción                               </v>
      </c>
      <c r="C16" s="239">
        <f t="shared" ref="C16:C22" si="2">IF(ISNUMBER(H16-E16+F16),H16-E16+F16," - ")</f>
        <v>4274</v>
      </c>
      <c r="D16" s="239">
        <f>IF(ISNUMBER(IF(D_I="SI",Datos!I16,Datos!I16+Datos!AC16)),IF(D_I="SI",Datos!I16,Datos!I16+Datos!AC16)," - ")</f>
        <v>4183</v>
      </c>
      <c r="E16" s="240">
        <f>IF(ISNUMBER(IF(D_I="SI",Datos!J16,Datos!J16+Datos!AD16)),IF(D_I="SI",Datos!J16,Datos!J16+Datos!AD16)," - ")</f>
        <v>11661</v>
      </c>
      <c r="F16" s="240">
        <f>IF(ISNUMBER(IF(D_I="SI",Datos!K16,Datos!K16+Datos!AE16)),IF(D_I="SI",Datos!K16,Datos!K16+Datos!AE16)," - ")</f>
        <v>11247</v>
      </c>
      <c r="G16" s="1392" t="str">
        <f>IF(Datos!E16&lt;&gt;"",Datos!E16,Datos!D16)</f>
        <v>03</v>
      </c>
      <c r="H16" s="241">
        <f>IF(ISNUMBER(IF(D_I="SI",Datos!L16,Datos!L16+Datos!AF16)),IF(D_I="SI",Datos!L16,Datos!L16+Datos!AF16)," - ")</f>
        <v>4688</v>
      </c>
      <c r="I16" s="1402" t="str">
        <f>IF(ISNUMBER(Datos!AS16/Datos!BM16),Datos!AS16/Datos!BM16," - ")</f>
        <v xml:space="preserve"> - </v>
      </c>
      <c r="J16" s="1403">
        <f>IF(ISNUMBER(Datos!BY16/Datos!CN16),Datos!BY16/Datos!CN16," - ")</f>
        <v>0</v>
      </c>
      <c r="K16" s="244">
        <f t="shared" ref="K16:K22" si="3">IF(ISNUMBER((E16-F16)/C16),(E16-F16)/C16," - ")</f>
        <v>9.6864763687412259E-2</v>
      </c>
      <c r="L16" s="1404">
        <f>IF(ISNUMBER(NºAsuntos!I16/NºAsuntos!G16),(NºAsuntos!I16/NºAsuntos!G16)*11," - ")</f>
        <v>4.5850449008624521</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361</v>
      </c>
      <c r="D18" s="239">
        <f>IF(ISNUMBER(IF(D_I="SI",Datos!I18,Datos!I18+Datos!AC18)),IF(D_I="SI",Datos!I18,Datos!I18+Datos!AC18)," - ")</f>
        <v>360</v>
      </c>
      <c r="E18" s="240">
        <f>IF(ISNUMBER(IF(D_I="SI",Datos!J18,Datos!J18+Datos!AD18)),IF(D_I="SI",Datos!J18,Datos!J18+Datos!AD18)," - ")</f>
        <v>1051</v>
      </c>
      <c r="F18" s="240">
        <f>IF(ISNUMBER(IF(D_I="SI",Datos!K18,Datos!K18+Datos!AE18)),IF(D_I="SI",Datos!K18,Datos!K18+Datos!AE18)," - ")</f>
        <v>1189</v>
      </c>
      <c r="G18" s="1392" t="str">
        <f>IF(Datos!E18&lt;&gt;"",Datos!E18,Datos!D18)</f>
        <v>37</v>
      </c>
      <c r="H18" s="241">
        <f>IF(ISNUMBER(IF(D_I="SI",Datos!L18,Datos!L18+Datos!AF18)),IF(D_I="SI",Datos!L18,Datos!L18+Datos!AF18)," - ")</f>
        <v>223</v>
      </c>
      <c r="I18" s="1402" t="str">
        <f>IF(ISNUMBER(Datos!AS18/Datos!BM18),Datos!AS18/Datos!BM18," - ")</f>
        <v xml:space="preserve"> - </v>
      </c>
      <c r="J18" s="1403" t="str">
        <f>IF(ISNUMBER((Datos!BY18+Datos!BZ18)/Datos!CN18),(Datos!BY18+Datos!BZ18)/Datos!CN18," - ")</f>
        <v xml:space="preserve"> - </v>
      </c>
      <c r="K18" s="244">
        <f t="shared" si="3"/>
        <v>-0.38227146814404434</v>
      </c>
      <c r="L18" s="1404">
        <f>IF(ISNUMBER(NºAsuntos!I18/NºAsuntos!G18),(NºAsuntos!I18/NºAsuntos!G18)*11," - ")</f>
        <v>2.0630782169890662</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4</v>
      </c>
      <c r="B21" s="1464" t="str">
        <f>Datos!A21</f>
        <v xml:space="preserve">Jdos. de lo Penal                               </v>
      </c>
      <c r="C21" s="239">
        <f t="shared" si="2"/>
        <v>1859</v>
      </c>
      <c r="D21" s="239">
        <f>IF(ISNUMBER(Datos!I21),Datos!I21," - ")</f>
        <v>1556</v>
      </c>
      <c r="E21" s="240">
        <f>IF(ISNUMBER(Datos!J21),Datos!J21," - ")</f>
        <v>1394</v>
      </c>
      <c r="F21" s="240">
        <f>IF(ISNUMBER(Datos!K21),Datos!K21," - ")</f>
        <v>1408</v>
      </c>
      <c r="G21" s="1392" t="str">
        <f>IF(Datos!E21&lt;&gt;"",Datos!E21,Datos!D21)</f>
        <v>09</v>
      </c>
      <c r="H21" s="241">
        <f>IF(ISNUMBER(Datos!L21),Datos!L21," - ")</f>
        <v>1845</v>
      </c>
      <c r="I21" s="1402" t="str">
        <f>IF(ISNUMBER(Datos!AS21/Datos!BM21),Datos!AS21/Datos!BM21," - ")</f>
        <v xml:space="preserve"> - </v>
      </c>
      <c r="J21" s="1403" t="str">
        <f>IF(ISNUMBER(Datos!BY21/Datos!CN21),Datos!BY21/Datos!CN21," - ")</f>
        <v xml:space="preserve"> - </v>
      </c>
      <c r="K21" s="244">
        <f t="shared" si="3"/>
        <v>-7.5309306078536848E-3</v>
      </c>
      <c r="L21" s="1404">
        <f>IF(ISNUMBER(NºAsuntos!I21/NºAsuntos!G21),(NºAsuntos!I21/NºAsuntos!G21)*11," - ")</f>
        <v>14.4140625</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6494</v>
      </c>
      <c r="D23" s="1409">
        <f>SUBTOTAL(9,D16:D22)</f>
        <v>6099</v>
      </c>
      <c r="E23" s="1410">
        <f>SUBTOTAL(9,E16:E22)</f>
        <v>14106</v>
      </c>
      <c r="F23" s="1410">
        <f>SUBTOTAL(9,F16:F22)</f>
        <v>13844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3</v>
      </c>
      <c r="B28" s="1464" t="str">
        <f>Datos!A28</f>
        <v xml:space="preserve">Jdos. de lo Social                              </v>
      </c>
      <c r="C28" s="239">
        <f>IF(ISNUMBER(H28-E28+F28),H28-E28+F28," - ")</f>
        <v>3013</v>
      </c>
      <c r="D28" s="239">
        <f>IF(ISNUMBER(Datos!I28),Datos!I28," - ")</f>
        <v>3044</v>
      </c>
      <c r="E28" s="240">
        <f>IF(ISNUMBER(Datos!J28),Datos!J28," - ")</f>
        <v>2780</v>
      </c>
      <c r="F28" s="240">
        <f>IF(ISNUMBER(Datos!K28),Datos!K28," - ")</f>
        <v>2775</v>
      </c>
      <c r="G28" s="1392" t="str">
        <f>IF(Datos!E28&lt;&gt;"",Datos!E28,Datos!D28)</f>
        <v>05</v>
      </c>
      <c r="H28" s="241">
        <f>IF(ISNUMBER(Datos!L28),Datos!L28," - ")</f>
        <v>3018</v>
      </c>
      <c r="I28" s="1402" t="str">
        <f>IF(ISNUMBER(Datos!AS28/Datos!BM28),Datos!AS28/Datos!BM28," - ")</f>
        <v xml:space="preserve"> - </v>
      </c>
      <c r="J28" s="1403" t="str">
        <f>IF(ISNUMBER(Datos!BY28/Datos!CN28),Datos!BY28/Datos!CN28," - ")</f>
        <v xml:space="preserve"> - </v>
      </c>
      <c r="K28" s="244">
        <f>IF(ISNUMBER((E28-F28)/C28),(E28-F28)/C28," - ")</f>
        <v>1.659475605708596E-3</v>
      </c>
      <c r="L28" s="1404">
        <f>IF(ISNUMBER(NºAsuntos!I28/NºAsuntos!G28),(NºAsuntos!I28/NºAsuntos!G28)*11," - ")</f>
        <v>11.963243243243243</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3013</v>
      </c>
      <c r="D30" s="1409">
        <f>SUBTOTAL(9,D28:D29)</f>
        <v>3044</v>
      </c>
      <c r="E30" s="1410">
        <f>SUBTOTAL(9,E28:E29)</f>
        <v>2780</v>
      </c>
      <c r="F30" s="1410">
        <f>SUBTOTAL(9,F28:F29)</f>
        <v>2775</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9619</v>
      </c>
      <c r="D31" s="1437">
        <f>SUBTOTAL(9,D9:D30)</f>
        <v>9255</v>
      </c>
      <c r="E31" s="1438">
        <f>SUBTOTAL(9,E9:E30)</f>
        <v>17088</v>
      </c>
      <c r="F31" s="1438">
        <f>SUBTOTAL(9,F9:F30)</f>
        <v>16814</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828</v>
      </c>
      <c r="O37" s="1685"/>
      <c r="P37" s="1685"/>
      <c r="Q37" s="1685"/>
      <c r="R37" s="1685"/>
      <c r="S37" s="1685"/>
      <c r="T37" s="1685"/>
      <c r="U37" s="1685"/>
      <c r="V37" s="1685"/>
      <c r="W37" s="1685"/>
      <c r="Y37" s="1685" t="s">
        <v>829</v>
      </c>
      <c r="Z37" s="1685"/>
      <c r="AA37" s="1685"/>
      <c r="AB37" s="1685"/>
      <c r="AC37" s="1685"/>
    </row>
    <row r="39" spans="2:29">
      <c r="N39" s="1388" t="s">
        <v>830</v>
      </c>
      <c r="O39" s="1680" t="s">
        <v>831</v>
      </c>
      <c r="P39" s="1680"/>
      <c r="Q39" s="1680"/>
      <c r="R39" s="1680"/>
      <c r="S39" s="1680"/>
      <c r="T39" s="1680"/>
      <c r="U39" s="1680"/>
      <c r="V39" s="1680"/>
      <c r="W39" s="1680"/>
      <c r="Y39" s="1388" t="s">
        <v>830</v>
      </c>
      <c r="Z39" s="1683" t="s">
        <v>832</v>
      </c>
      <c r="AA39" s="1683"/>
      <c r="AB39" s="1683"/>
      <c r="AC39" s="1683"/>
    </row>
    <row r="40" spans="2:29">
      <c r="N40" s="1388" t="s">
        <v>833</v>
      </c>
      <c r="O40" s="1680" t="s">
        <v>834</v>
      </c>
      <c r="P40" s="1680"/>
      <c r="Q40" s="1680"/>
      <c r="R40" s="1680"/>
      <c r="S40" s="1680"/>
      <c r="T40" s="1680"/>
      <c r="U40" s="1680"/>
      <c r="V40" s="1680"/>
      <c r="W40" s="1680"/>
      <c r="Y40" s="1388" t="s">
        <v>833</v>
      </c>
      <c r="Z40" s="1683" t="s">
        <v>835</v>
      </c>
      <c r="AA40" s="1683"/>
      <c r="AB40" s="1683"/>
      <c r="AC40" s="1683"/>
    </row>
    <row r="41" spans="2:29">
      <c r="N41" s="1388" t="s">
        <v>836</v>
      </c>
      <c r="O41" s="1680" t="s">
        <v>837</v>
      </c>
      <c r="P41" s="1680"/>
      <c r="Q41" s="1680"/>
      <c r="R41" s="1680"/>
      <c r="S41" s="1680"/>
      <c r="T41" s="1680"/>
      <c r="U41" s="1680"/>
      <c r="V41" s="1680"/>
      <c r="W41" s="1680"/>
      <c r="Y41" s="1388" t="s">
        <v>838</v>
      </c>
      <c r="Z41" s="1683" t="s">
        <v>839</v>
      </c>
      <c r="AA41" s="1683"/>
      <c r="AB41" s="1683"/>
      <c r="AC41" s="1683"/>
    </row>
    <row r="42" spans="2:29">
      <c r="N42" s="1388" t="s">
        <v>840</v>
      </c>
      <c r="O42" s="1680" t="s">
        <v>841</v>
      </c>
      <c r="P42" s="1680"/>
      <c r="Q42" s="1680"/>
      <c r="R42" s="1680"/>
      <c r="S42" s="1680"/>
      <c r="T42" s="1680"/>
      <c r="U42" s="1680"/>
      <c r="V42" s="1680"/>
      <c r="W42" s="1680"/>
      <c r="Y42" s="1388" t="s">
        <v>842</v>
      </c>
      <c r="Z42" s="1683" t="s">
        <v>843</v>
      </c>
      <c r="AA42" s="1683"/>
      <c r="AB42" s="1683"/>
      <c r="AC42" s="1683"/>
    </row>
    <row r="43" spans="2:29">
      <c r="N43" s="1388" t="s">
        <v>930</v>
      </c>
      <c r="O43" s="1680" t="s">
        <v>931</v>
      </c>
      <c r="P43" s="1680"/>
      <c r="Q43" s="1680"/>
      <c r="R43" s="1680"/>
      <c r="S43" s="1680"/>
      <c r="T43" s="1680"/>
      <c r="U43" s="1680"/>
      <c r="V43" s="1680"/>
      <c r="W43" s="1680"/>
      <c r="Y43" s="1388" t="s">
        <v>836</v>
      </c>
      <c r="Z43" s="1683" t="s">
        <v>837</v>
      </c>
      <c r="AA43" s="1683"/>
      <c r="AB43" s="1683"/>
      <c r="AC43" s="1683"/>
    </row>
    <row r="44" spans="2:29">
      <c r="N44" s="1388" t="s">
        <v>844</v>
      </c>
      <c r="O44" s="1680" t="s">
        <v>845</v>
      </c>
      <c r="P44" s="1680"/>
      <c r="Q44" s="1680"/>
      <c r="R44" s="1680"/>
      <c r="S44" s="1680"/>
      <c r="T44" s="1680"/>
      <c r="U44" s="1680"/>
      <c r="V44" s="1680"/>
      <c r="W44" s="1680"/>
      <c r="Y44" s="1388" t="s">
        <v>840</v>
      </c>
      <c r="Z44" s="1683" t="s">
        <v>841</v>
      </c>
      <c r="AA44" s="1683"/>
      <c r="AB44" s="1683"/>
      <c r="AC44" s="1683"/>
    </row>
    <row r="45" spans="2:29">
      <c r="N45" s="1388" t="s">
        <v>846</v>
      </c>
      <c r="O45" s="1680" t="s">
        <v>847</v>
      </c>
      <c r="P45" s="1680"/>
      <c r="Q45" s="1680"/>
      <c r="R45" s="1680"/>
      <c r="S45" s="1680"/>
      <c r="T45" s="1680"/>
      <c r="U45" s="1680"/>
      <c r="V45" s="1680"/>
      <c r="W45" s="1680"/>
      <c r="Y45" s="1388" t="s">
        <v>849</v>
      </c>
      <c r="Z45" s="1683" t="s">
        <v>850</v>
      </c>
      <c r="AA45" s="1683"/>
      <c r="AB45" s="1683"/>
      <c r="AC45" s="1683"/>
    </row>
    <row r="46" spans="2:29">
      <c r="N46" s="1388" t="s">
        <v>838</v>
      </c>
      <c r="O46" s="1680" t="s">
        <v>848</v>
      </c>
      <c r="P46" s="1680"/>
      <c r="Q46" s="1680"/>
      <c r="R46" s="1680"/>
      <c r="S46" s="1680"/>
      <c r="T46" s="1680"/>
      <c r="U46" s="1680"/>
      <c r="V46" s="1680"/>
      <c r="W46" s="1680"/>
      <c r="Y46" s="1388" t="s">
        <v>852</v>
      </c>
      <c r="Z46" s="1683" t="s">
        <v>853</v>
      </c>
      <c r="AA46" s="1683"/>
      <c r="AB46" s="1683"/>
      <c r="AC46" s="1683"/>
    </row>
    <row r="47" spans="2:29">
      <c r="N47" s="1388" t="s">
        <v>842</v>
      </c>
      <c r="O47" s="1680" t="s">
        <v>851</v>
      </c>
      <c r="P47" s="1680"/>
      <c r="Q47" s="1680"/>
      <c r="R47" s="1680"/>
      <c r="S47" s="1680"/>
      <c r="T47" s="1680"/>
      <c r="U47" s="1680"/>
      <c r="V47" s="1680"/>
      <c r="W47" s="1680"/>
      <c r="Y47" s="1389" t="s">
        <v>855</v>
      </c>
      <c r="Z47" s="1681" t="s">
        <v>856</v>
      </c>
      <c r="AA47" s="1681"/>
      <c r="AB47" s="1681"/>
      <c r="AC47" s="1681"/>
    </row>
    <row r="48" spans="2:29">
      <c r="N48" s="1388" t="s">
        <v>849</v>
      </c>
      <c r="O48" s="1680" t="s">
        <v>854</v>
      </c>
      <c r="P48" s="1680"/>
      <c r="Q48" s="1680"/>
      <c r="R48" s="1680"/>
      <c r="S48" s="1680"/>
      <c r="T48" s="1680"/>
      <c r="U48" s="1680"/>
      <c r="V48" s="1680"/>
      <c r="W48" s="1680"/>
      <c r="Y48" s="1388" t="s">
        <v>844</v>
      </c>
      <c r="Z48" s="1683" t="s">
        <v>845</v>
      </c>
      <c r="AA48" s="1683"/>
      <c r="AB48" s="1683"/>
      <c r="AC48" s="1683"/>
    </row>
    <row r="49" spans="14:29">
      <c r="N49" s="1388" t="s">
        <v>857</v>
      </c>
      <c r="O49" s="1680" t="s">
        <v>858</v>
      </c>
      <c r="P49" s="1680"/>
      <c r="Q49" s="1680"/>
      <c r="R49" s="1680"/>
      <c r="S49" s="1680"/>
      <c r="T49" s="1680"/>
      <c r="U49" s="1680"/>
      <c r="V49" s="1680"/>
      <c r="W49" s="1680"/>
      <c r="Y49" s="1390" t="s">
        <v>846</v>
      </c>
      <c r="Z49" s="1684" t="s">
        <v>847</v>
      </c>
      <c r="AA49" s="1684"/>
      <c r="AB49" s="1684"/>
      <c r="AC49" s="1684"/>
    </row>
    <row r="50" spans="14:29">
      <c r="N50" s="1388" t="s">
        <v>852</v>
      </c>
      <c r="O50" s="1680" t="s">
        <v>859</v>
      </c>
      <c r="P50" s="1680"/>
      <c r="Q50" s="1680"/>
      <c r="R50" s="1680"/>
      <c r="S50" s="1680"/>
      <c r="T50" s="1680"/>
      <c r="U50" s="1680"/>
      <c r="V50" s="1680"/>
      <c r="W50" s="1680"/>
    </row>
    <row r="51" spans="14:29">
      <c r="N51" s="1390" t="s">
        <v>855</v>
      </c>
      <c r="O51" s="1682" t="s">
        <v>860</v>
      </c>
      <c r="P51" s="1682"/>
      <c r="Q51" s="1682"/>
      <c r="R51" s="1682"/>
      <c r="S51" s="1682"/>
      <c r="T51" s="1682"/>
      <c r="U51" s="1682"/>
      <c r="V51" s="1682"/>
      <c r="W51" s="1682"/>
    </row>
  </sheetData>
  <sheetProtection algorithmName="SHA-512" hashValue="494IpkNzIcgZRVS9Tjg9EVCVjPGwZo4dE4nu4NmqAswUXcHh2x+0CLuyVyrmfF2j1s4j3YZzuwOsFSxgEnZtCw==" saltValue="kEcEMA2jKyybWcw/f//2g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89.25">
      <c r="B13" s="1540" t="s">
        <v>1138</v>
      </c>
    </row>
    <row r="14" spans="2:2">
      <c r="B14" s="527"/>
    </row>
    <row r="15" spans="2:2" ht="51">
      <c r="B15" s="527" t="s">
        <v>536</v>
      </c>
    </row>
    <row r="16" spans="2:2">
      <c r="B16" s="527"/>
    </row>
    <row r="17" spans="2:2" ht="51">
      <c r="B17" s="528" t="s">
        <v>537</v>
      </c>
    </row>
  </sheetData>
  <sheetProtection algorithmName="SHA-512" hashValue="CITwqocDNyJ862XwfBF5TDYBL3Mgfinlkf+qRqb+t2LDHX3MDlI0tJvcd2TGKRpeDAD2NQcoTSFJUKJjSjgFLA==" saltValue="WVY5vR5qZImjXLlqirVY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c r="BO5" s="1608"/>
      <c r="BP5" s="1607"/>
      <c r="BQ5" s="1608"/>
      <c r="BR5" s="1607"/>
      <c r="BS5" s="1608"/>
      <c r="BT5" s="1607"/>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6" t="s">
        <v>999</v>
      </c>
      <c r="ER8" s="536">
        <v>148</v>
      </c>
      <c r="ES8" s="536" t="s">
        <v>1011</v>
      </c>
      <c r="ET8" s="1522" t="s">
        <v>1129</v>
      </c>
      <c r="EU8" s="1522" t="s">
        <v>1130</v>
      </c>
    </row>
    <row r="9" spans="1:151" ht="14.25" customHeight="1">
      <c r="A9" s="20" t="s">
        <v>69</v>
      </c>
      <c r="B9" s="21" t="s">
        <v>513</v>
      </c>
      <c r="C9" s="22" t="s">
        <v>8</v>
      </c>
      <c r="D9" s="23" t="s">
        <v>25</v>
      </c>
      <c r="E9" s="21" t="s">
        <v>26</v>
      </c>
      <c r="F9" s="21">
        <v>32</v>
      </c>
      <c r="G9" s="6"/>
      <c r="H9" s="146" t="s">
        <v>314</v>
      </c>
      <c r="I9" s="193">
        <v>11934</v>
      </c>
      <c r="J9" s="194">
        <v>11590</v>
      </c>
      <c r="K9" s="194">
        <v>10620</v>
      </c>
      <c r="L9" s="194">
        <v>12903</v>
      </c>
      <c r="M9" s="194">
        <v>2407</v>
      </c>
      <c r="N9" s="194">
        <v>5034</v>
      </c>
      <c r="O9" s="194">
        <v>5418</v>
      </c>
      <c r="P9" s="194">
        <v>2712</v>
      </c>
      <c r="Q9" s="194">
        <v>3192</v>
      </c>
      <c r="R9" s="194">
        <v>14921</v>
      </c>
      <c r="S9" s="194">
        <v>10750</v>
      </c>
      <c r="T9" s="194">
        <v>9159</v>
      </c>
      <c r="U9" s="194">
        <v>7984</v>
      </c>
      <c r="V9" s="194">
        <v>11934</v>
      </c>
      <c r="W9" s="194">
        <v>1660</v>
      </c>
      <c r="X9" s="201">
        <v>3587</v>
      </c>
      <c r="Y9" s="204">
        <v>312</v>
      </c>
      <c r="Z9" s="194">
        <v>661</v>
      </c>
      <c r="AA9" s="194">
        <v>672</v>
      </c>
      <c r="AB9" s="194">
        <v>301</v>
      </c>
      <c r="AC9" s="194">
        <v>0</v>
      </c>
      <c r="AD9" s="194">
        <v>0</v>
      </c>
      <c r="AE9" s="194">
        <v>0</v>
      </c>
      <c r="AF9" s="201">
        <v>0</v>
      </c>
      <c r="AG9" s="204">
        <v>286</v>
      </c>
      <c r="AH9" s="194">
        <v>503</v>
      </c>
      <c r="AI9" s="194">
        <v>477</v>
      </c>
      <c r="AJ9" s="205">
        <v>312</v>
      </c>
      <c r="AK9" s="193">
        <v>0</v>
      </c>
      <c r="AL9" s="194">
        <v>0</v>
      </c>
      <c r="AM9" s="194">
        <v>0</v>
      </c>
      <c r="AN9" s="201">
        <v>0</v>
      </c>
      <c r="AO9" s="282">
        <v>8</v>
      </c>
      <c r="AP9" s="167">
        <v>8</v>
      </c>
      <c r="AQ9" s="167">
        <v>8</v>
      </c>
      <c r="AR9" s="206">
        <v>8</v>
      </c>
      <c r="AS9" s="380" t="s">
        <v>1065</v>
      </c>
      <c r="AT9" s="208"/>
      <c r="AU9" s="207"/>
      <c r="AV9" s="208"/>
      <c r="AW9" s="207"/>
      <c r="AX9" s="208"/>
      <c r="AY9" s="133">
        <f>IF(ISNUMBER(IF(J_V="SI",S9,S9+AG9)),IF(J_V="SI",S9,S9+AG9)," - ")</f>
        <v>11036</v>
      </c>
      <c r="AZ9" s="133">
        <f>IF(ISNUMBER(IF(J_V="SI",T9,T9+AH9)),IF(J_V="SI",T9,T9+AH9)," - ")</f>
        <v>9662</v>
      </c>
      <c r="BA9" s="134">
        <f>IF(ISNUMBER(IF(J_V="SI",U9,U9+AI9)),IF(J_V="SI",U9,U9+AI9)," - ")</f>
        <v>8461</v>
      </c>
      <c r="BB9" s="134">
        <f>IF(ISNUMBER(IF(J_V="SI",V9,V9+AJ9)),IF(J_V="SI",V9,V9+AJ9)," - ")</f>
        <v>12246</v>
      </c>
      <c r="BC9" s="135">
        <f>IF(ISNUMBER(X9),X9," - ")</f>
        <v>3587</v>
      </c>
      <c r="BD9" s="136">
        <f>IF(ISNUMBER(BA9/AZ9),BA9/AZ9," - ")</f>
        <v>0.87569861312357689</v>
      </c>
      <c r="BE9" s="137">
        <f>IF(ISNUMBER(BB9/BA9),BB9/BA9, " - ")</f>
        <v>1.4473466493322302</v>
      </c>
      <c r="BF9" s="137">
        <f>IF(ISNUMBER(BC9/BA9),BC9/BA9, " - ")</f>
        <v>0.42394516014655476</v>
      </c>
      <c r="BG9" s="209">
        <f>IF(ISNUMBER((AY9+AZ9)/BA9),(AY9+AZ9)/BA9," - ")</f>
        <v>2.4462829452783357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1066</v>
      </c>
      <c r="EP9" s="1336"/>
      <c r="EQ9" s="1336"/>
      <c r="ER9" s="1341">
        <v>1200</v>
      </c>
      <c r="ES9" s="1336"/>
      <c r="ET9" s="1523"/>
      <c r="EU9" s="1523"/>
    </row>
    <row r="10" spans="1:151" ht="14.25" customHeight="1">
      <c r="A10" s="20" t="s">
        <v>184</v>
      </c>
      <c r="B10" s="21" t="s">
        <v>513</v>
      </c>
      <c r="C10" s="22" t="s">
        <v>8</v>
      </c>
      <c r="D10" s="23" t="s">
        <v>111</v>
      </c>
      <c r="E10" s="21" t="s">
        <v>111</v>
      </c>
      <c r="F10" s="21" t="s">
        <v>179</v>
      </c>
      <c r="G10" s="6"/>
      <c r="H10" s="28"/>
      <c r="I10" s="193">
        <v>112</v>
      </c>
      <c r="J10" s="194">
        <v>202</v>
      </c>
      <c r="K10" s="194">
        <v>195</v>
      </c>
      <c r="L10" s="194">
        <v>119</v>
      </c>
      <c r="M10" s="194">
        <v>70</v>
      </c>
      <c r="N10" s="194">
        <v>60</v>
      </c>
      <c r="O10" s="194">
        <v>31</v>
      </c>
      <c r="P10" s="194">
        <v>44</v>
      </c>
      <c r="Q10" s="194">
        <v>63</v>
      </c>
      <c r="R10" s="194">
        <v>127</v>
      </c>
      <c r="S10" s="194">
        <v>69</v>
      </c>
      <c r="T10" s="194">
        <v>145</v>
      </c>
      <c r="U10" s="194">
        <v>102</v>
      </c>
      <c r="V10" s="194">
        <v>112</v>
      </c>
      <c r="W10" s="194">
        <v>32</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1059</v>
      </c>
      <c r="AT10" s="205"/>
      <c r="AU10" s="213"/>
      <c r="AV10" s="205"/>
      <c r="AW10" s="213"/>
      <c r="AX10" s="205"/>
      <c r="AY10" s="138">
        <f t="shared" ref="AY10:BC10" si="0">IF(ISNUMBER(S10),S10," - ")</f>
        <v>69</v>
      </c>
      <c r="AZ10" s="139">
        <f t="shared" si="0"/>
        <v>145</v>
      </c>
      <c r="BA10" s="139">
        <f t="shared" si="0"/>
        <v>102</v>
      </c>
      <c r="BB10" s="139">
        <f t="shared" si="0"/>
        <v>112</v>
      </c>
      <c r="BC10" s="135">
        <f t="shared" si="0"/>
        <v>32</v>
      </c>
      <c r="BD10" s="136">
        <f>IF(ISNUMBER(BA10/AZ10),BA10/AZ10," - ")</f>
        <v>0.70344827586206893</v>
      </c>
      <c r="BE10" s="137">
        <f>IF(ISNUMBER(BB10/BA10),BB10/BA10, " - ")</f>
        <v>1.0980392156862746</v>
      </c>
      <c r="BF10" s="137">
        <f>IF(ISNUMBER(BC10/BA10),BC10/BA10, " - ")</f>
        <v>0.31372549019607843</v>
      </c>
      <c r="BG10" s="209">
        <f>IF(ISNUMBER((AY10+AZ10)/BA10),(AY10+AZ10)/BA10," - ")</f>
        <v>2.0980392156862746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1033</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v>1328</v>
      </c>
      <c r="J11" s="196">
        <v>1984</v>
      </c>
      <c r="K11" s="196">
        <v>2108</v>
      </c>
      <c r="L11" s="196">
        <v>1101</v>
      </c>
      <c r="M11" s="196">
        <v>1024</v>
      </c>
      <c r="N11" s="196">
        <v>1205</v>
      </c>
      <c r="O11" s="194">
        <v>694</v>
      </c>
      <c r="P11" s="196">
        <v>235</v>
      </c>
      <c r="Q11" s="196">
        <v>510</v>
      </c>
      <c r="R11" s="196">
        <v>983</v>
      </c>
      <c r="S11" s="196">
        <v>1154</v>
      </c>
      <c r="T11" s="196">
        <v>2126</v>
      </c>
      <c r="U11" s="196">
        <v>2096</v>
      </c>
      <c r="V11" s="196">
        <v>1328</v>
      </c>
      <c r="W11" s="196">
        <v>576</v>
      </c>
      <c r="X11" s="202">
        <v>1207</v>
      </c>
      <c r="Y11" s="204">
        <v>29</v>
      </c>
      <c r="Z11" s="194">
        <v>791</v>
      </c>
      <c r="AA11" s="194">
        <v>772</v>
      </c>
      <c r="AB11" s="194">
        <v>71</v>
      </c>
      <c r="AC11" s="196">
        <v>0</v>
      </c>
      <c r="AD11" s="196">
        <v>0</v>
      </c>
      <c r="AE11" s="196">
        <v>0</v>
      </c>
      <c r="AF11" s="202">
        <v>0</v>
      </c>
      <c r="AG11" s="215">
        <v>22</v>
      </c>
      <c r="AH11" s="196">
        <v>616</v>
      </c>
      <c r="AI11" s="196">
        <v>609</v>
      </c>
      <c r="AJ11" s="216">
        <v>29</v>
      </c>
      <c r="AK11" s="195">
        <v>0</v>
      </c>
      <c r="AL11" s="196">
        <v>0</v>
      </c>
      <c r="AM11" s="196">
        <v>0</v>
      </c>
      <c r="AN11" s="202">
        <v>0</v>
      </c>
      <c r="AO11" s="283">
        <v>2</v>
      </c>
      <c r="AP11" s="168">
        <v>2</v>
      </c>
      <c r="AQ11" s="168">
        <v>2</v>
      </c>
      <c r="AR11" s="167">
        <v>2</v>
      </c>
      <c r="AS11" s="382" t="s">
        <v>1068</v>
      </c>
      <c r="AT11" s="216"/>
      <c r="AU11" s="215"/>
      <c r="AV11" s="216"/>
      <c r="AW11" s="215"/>
      <c r="AX11" s="216"/>
      <c r="AY11" s="136">
        <f t="shared" ref="AY11:BB12" si="1">IF(ISNUMBER(IF(J_V="SI",S11,S11+AG11)),IF(J_V="SI",S11,S11+AG11)," - ")</f>
        <v>1176</v>
      </c>
      <c r="AZ11" s="137">
        <f t="shared" si="1"/>
        <v>2742</v>
      </c>
      <c r="BA11" s="137">
        <f t="shared" si="1"/>
        <v>2705</v>
      </c>
      <c r="BB11" s="137">
        <f t="shared" si="1"/>
        <v>1357</v>
      </c>
      <c r="BC11" s="135">
        <f>IF(ISNUMBER(X11),X11," - ")</f>
        <v>1207</v>
      </c>
      <c r="BD11" s="136">
        <f t="shared" ref="BD11:BD13" si="2">IF(ISNUMBER(BA11/AZ11),BA11/AZ11," - ")</f>
        <v>0.98650619985412102</v>
      </c>
      <c r="BE11" s="137">
        <f t="shared" ref="BE11:BE13" si="3">IF(ISNUMBER(BB11/BA11),BB11/BA11, " - ")</f>
        <v>0.50166358595194083</v>
      </c>
      <c r="BF11" s="137">
        <f t="shared" ref="BF11:BF13" si="4">IF(ISNUMBER(BC11/BA11),BC11/BA11, " - ")</f>
        <v>0.44621072088724584</v>
      </c>
      <c r="BG11" s="209">
        <f t="shared" ref="BG11:BG13" si="5">IF(ISNUMBER((AY11+AZ11)/BA11),(AY11+AZ11)/BA11," - ")</f>
        <v>1.4484288354898336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1069</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t="s">
        <v>1086</v>
      </c>
      <c r="J12" s="196" t="s">
        <v>1067</v>
      </c>
      <c r="K12" s="196" t="s">
        <v>1087</v>
      </c>
      <c r="L12" s="196" t="s">
        <v>1106</v>
      </c>
      <c r="M12" s="196" t="s">
        <v>646</v>
      </c>
      <c r="N12" s="196" t="s">
        <v>662</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2" t="s">
        <v>1070</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1071</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13374</v>
      </c>
      <c r="J14" s="197">
        <f t="shared" si="7"/>
        <v>13776</v>
      </c>
      <c r="K14" s="197">
        <f t="shared" si="7"/>
        <v>12923</v>
      </c>
      <c r="L14" s="197">
        <f t="shared" si="7"/>
        <v>14123</v>
      </c>
      <c r="M14" s="197">
        <f t="shared" si="7"/>
        <v>3501</v>
      </c>
      <c r="N14" s="197">
        <f t="shared" si="7"/>
        <v>6299</v>
      </c>
      <c r="O14" s="197">
        <f t="shared" si="7"/>
        <v>6143</v>
      </c>
      <c r="P14" s="197">
        <f t="shared" si="7"/>
        <v>2991</v>
      </c>
      <c r="Q14" s="197">
        <f t="shared" si="7"/>
        <v>3765</v>
      </c>
      <c r="R14" s="197">
        <f t="shared" si="7"/>
        <v>16031</v>
      </c>
      <c r="S14" s="197">
        <f t="shared" si="7"/>
        <v>11973</v>
      </c>
      <c r="T14" s="197">
        <f t="shared" si="7"/>
        <v>11430</v>
      </c>
      <c r="U14" s="197">
        <f t="shared" si="7"/>
        <v>10182</v>
      </c>
      <c r="V14" s="197">
        <f t="shared" si="7"/>
        <v>13374</v>
      </c>
      <c r="W14" s="197">
        <f t="shared" si="7"/>
        <v>2268</v>
      </c>
      <c r="X14" s="197">
        <f t="shared" si="7"/>
        <v>4825</v>
      </c>
      <c r="Y14" s="197">
        <f t="shared" si="7"/>
        <v>341</v>
      </c>
      <c r="Z14" s="197">
        <f t="shared" si="7"/>
        <v>1452</v>
      </c>
      <c r="AA14" s="197">
        <f t="shared" si="7"/>
        <v>1444</v>
      </c>
      <c r="AB14" s="197">
        <f t="shared" si="7"/>
        <v>372</v>
      </c>
      <c r="AC14" s="197">
        <f t="shared" si="7"/>
        <v>0</v>
      </c>
      <c r="AD14" s="197">
        <f t="shared" si="7"/>
        <v>0</v>
      </c>
      <c r="AE14" s="197">
        <f t="shared" si="7"/>
        <v>0</v>
      </c>
      <c r="AF14" s="197">
        <f>SUBTOTAL(9,AF9:AF13)</f>
        <v>0</v>
      </c>
      <c r="AG14" s="197">
        <f t="shared" ref="AG14:AT14" si="8">SUBTOTAL(9,AG8:AG13)</f>
        <v>308</v>
      </c>
      <c r="AH14" s="197">
        <f t="shared" si="8"/>
        <v>1119</v>
      </c>
      <c r="AI14" s="197">
        <f t="shared" si="8"/>
        <v>1086</v>
      </c>
      <c r="AJ14" s="197">
        <f t="shared" si="8"/>
        <v>341</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12281</v>
      </c>
      <c r="AZ14" s="197">
        <f>SUBTOTAL(9,AZ8:AZ13)</f>
        <v>12549</v>
      </c>
      <c r="BA14" s="197">
        <f>SUBTOTAL(9,BA8:BA13)</f>
        <v>11268</v>
      </c>
      <c r="BB14" s="197">
        <f>SUBTOTAL(9,BB8:BB13)</f>
        <v>13715</v>
      </c>
      <c r="BC14" s="197">
        <f>SUBTOTAL(9,BC8:BC13)</f>
        <v>4826</v>
      </c>
      <c r="BD14" s="219">
        <f>IF(ISNUMBER(BA14/AZ14),BA14/AZ14," - ")</f>
        <v>0.89792015300023909</v>
      </c>
      <c r="BE14" s="220">
        <f>IF(ISNUMBER(BB14/BA14),BB14/BA14, " - ")</f>
        <v>1.2171636492722755</v>
      </c>
      <c r="BF14" s="220">
        <f>IF(ISNUMBER(BC14/BA14),BC14/BA14, " - ")</f>
        <v>0.42829250976215832</v>
      </c>
      <c r="BG14" s="221">
        <f>IF(ISNUMBER((AY14+AZ14)/BA14),(AY14+AZ14)/BA14," - ")</f>
        <v>2.2035853745118921</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v>4183</v>
      </c>
      <c r="J16" s="196">
        <v>11661</v>
      </c>
      <c r="K16" s="196">
        <v>11247</v>
      </c>
      <c r="L16" s="196">
        <v>4688</v>
      </c>
      <c r="M16" s="196">
        <v>1487</v>
      </c>
      <c r="N16" s="196">
        <v>7010</v>
      </c>
      <c r="O16" s="194">
        <v>147</v>
      </c>
      <c r="P16" s="196">
        <v>302</v>
      </c>
      <c r="Q16" s="196">
        <v>234</v>
      </c>
      <c r="R16" s="196">
        <v>447</v>
      </c>
      <c r="S16" s="196">
        <v>3304</v>
      </c>
      <c r="T16" s="196">
        <v>10838</v>
      </c>
      <c r="U16" s="196">
        <v>9792</v>
      </c>
      <c r="V16" s="196">
        <v>4183</v>
      </c>
      <c r="W16" s="196">
        <v>976</v>
      </c>
      <c r="X16" s="202">
        <v>6127</v>
      </c>
      <c r="Y16" s="215">
        <v>0</v>
      </c>
      <c r="Z16" s="196">
        <v>0</v>
      </c>
      <c r="AA16" s="196">
        <v>0</v>
      </c>
      <c r="AB16" s="196">
        <v>0</v>
      </c>
      <c r="AC16" s="196">
        <v>3</v>
      </c>
      <c r="AD16" s="196">
        <v>453</v>
      </c>
      <c r="AE16" s="196">
        <v>450</v>
      </c>
      <c r="AF16" s="202">
        <v>6</v>
      </c>
      <c r="AG16" s="215">
        <v>0</v>
      </c>
      <c r="AH16" s="196">
        <v>0</v>
      </c>
      <c r="AI16" s="196">
        <v>0</v>
      </c>
      <c r="AJ16" s="216">
        <v>0</v>
      </c>
      <c r="AK16" s="195">
        <v>26</v>
      </c>
      <c r="AL16" s="196">
        <v>431</v>
      </c>
      <c r="AM16" s="196">
        <v>454</v>
      </c>
      <c r="AN16" s="202">
        <v>3</v>
      </c>
      <c r="AO16" s="283">
        <v>5</v>
      </c>
      <c r="AP16" s="168">
        <v>5</v>
      </c>
      <c r="AQ16" s="168">
        <v>5</v>
      </c>
      <c r="AR16" s="168">
        <v>5</v>
      </c>
      <c r="AS16" s="382" t="s">
        <v>690</v>
      </c>
      <c r="AT16" s="216" t="s">
        <v>418</v>
      </c>
      <c r="AU16" s="215"/>
      <c r="AV16" s="216"/>
      <c r="AW16" s="215"/>
      <c r="AX16" s="216"/>
      <c r="AY16" s="138">
        <f t="shared" ref="AY16:BB17" si="10">IF(ISNUMBER(IF(D_I="SI",S16,S16+AK16)),IF(D_I="SI",S16,S16+AK16)," - ")</f>
        <v>3304</v>
      </c>
      <c r="AZ16" s="139">
        <f t="shared" si="10"/>
        <v>10838</v>
      </c>
      <c r="BA16" s="139">
        <f t="shared" si="10"/>
        <v>9792</v>
      </c>
      <c r="BB16" s="139">
        <f t="shared" si="10"/>
        <v>4183</v>
      </c>
      <c r="BC16" s="135">
        <f>IF(ISNUMBER(W16),W16," - ")</f>
        <v>976</v>
      </c>
      <c r="BD16" s="136">
        <f>IF(ISNUMBER(BA16/AZ16),BA16/AZ16," - ")</f>
        <v>0.9034877283631666</v>
      </c>
      <c r="BE16" s="137">
        <f>IF(ISNUMBER(BB16/BA16),BB16/BA16, " - ")</f>
        <v>0.42718545751633985</v>
      </c>
      <c r="BF16" s="137">
        <f>IF(ISNUMBER(BC16/BA16),BC16/BA16, " - ")</f>
        <v>9.9673202614379092E-2</v>
      </c>
      <c r="BG16" s="209">
        <f t="shared" ref="BG16:BG22" si="11">IF(ISNUMBER((AY16+AZ16)/BA16),(AY16+AZ16)/BA16," - ")</f>
        <v>1.4442401960784315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1072</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t="s">
        <v>644</v>
      </c>
      <c r="J17" s="196" t="s">
        <v>640</v>
      </c>
      <c r="K17" s="196" t="s">
        <v>641</v>
      </c>
      <c r="L17" s="196" t="s">
        <v>642</v>
      </c>
      <c r="M17" s="196" t="s">
        <v>648</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2"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1039</v>
      </c>
      <c r="EP17" s="1337"/>
      <c r="EQ17" s="1337"/>
      <c r="ER17" s="1343">
        <v>1000</v>
      </c>
      <c r="ES17" s="1337"/>
      <c r="ET17" s="1523"/>
      <c r="EU17" s="1523"/>
    </row>
    <row r="18" spans="1:151" ht="14.25" customHeight="1">
      <c r="A18" s="7" t="s">
        <v>184</v>
      </c>
      <c r="B18" s="21" t="s">
        <v>513</v>
      </c>
      <c r="C18" s="22" t="s">
        <v>8</v>
      </c>
      <c r="D18" s="23" t="s">
        <v>111</v>
      </c>
      <c r="E18" s="21" t="s">
        <v>111</v>
      </c>
      <c r="F18" s="21" t="s">
        <v>179</v>
      </c>
      <c r="G18" s="6"/>
      <c r="H18" s="24"/>
      <c r="I18" s="195">
        <v>360</v>
      </c>
      <c r="J18" s="196">
        <v>1051</v>
      </c>
      <c r="K18" s="196">
        <v>1189</v>
      </c>
      <c r="L18" s="196">
        <v>223</v>
      </c>
      <c r="M18" s="196">
        <v>69</v>
      </c>
      <c r="N18" s="196">
        <v>508</v>
      </c>
      <c r="O18" s="196">
        <v>0</v>
      </c>
      <c r="P18" s="196">
        <v>2</v>
      </c>
      <c r="Q18" s="196">
        <v>5</v>
      </c>
      <c r="R18" s="196">
        <v>1</v>
      </c>
      <c r="S18" s="196">
        <v>250</v>
      </c>
      <c r="T18" s="196">
        <v>973</v>
      </c>
      <c r="U18" s="196">
        <v>863</v>
      </c>
      <c r="V18" s="196">
        <v>360</v>
      </c>
      <c r="W18" s="196">
        <v>51</v>
      </c>
      <c r="X18" s="202">
        <v>391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1058</v>
      </c>
      <c r="AT18" s="223"/>
      <c r="AU18" s="213"/>
      <c r="AV18" s="223"/>
      <c r="AW18" s="213"/>
      <c r="AX18" s="223"/>
      <c r="AY18" s="138">
        <f t="shared" ref="AY18:BB19" si="15">IF(ISNUMBER(S18),S18," - ")</f>
        <v>250</v>
      </c>
      <c r="AZ18" s="139">
        <f t="shared" si="15"/>
        <v>973</v>
      </c>
      <c r="BA18" s="139">
        <f t="shared" si="15"/>
        <v>863</v>
      </c>
      <c r="BB18" s="139">
        <f t="shared" si="15"/>
        <v>360</v>
      </c>
      <c r="BC18" s="135">
        <f>IF(ISNUMBER(W18),W18," - ")</f>
        <v>51</v>
      </c>
      <c r="BD18" s="136">
        <f>IF(ISNUMBER(BA18/AZ18),BA18/AZ18," - ")</f>
        <v>0.88694758478931146</v>
      </c>
      <c r="BE18" s="137">
        <f>IF(ISNUMBER(BB18/BA18),BB18/BA18, " - ")</f>
        <v>0.41714947856315182</v>
      </c>
      <c r="BF18" s="137">
        <f>IF(ISNUMBER(BC18/BA18),BC18/BA18, " - ")</f>
        <v>5.909617612977984E-2</v>
      </c>
      <c r="BG18" s="209">
        <f>IF(ISNUMBER((AY18+AZ18)/BA18),(AY18+AZ18)/BA18," - ")</f>
        <v>1.4171494785631518</v>
      </c>
      <c r="BH18" s="168">
        <v>1</v>
      </c>
      <c r="BI18" s="168"/>
      <c r="BJ18" s="213"/>
      <c r="BK18" s="167"/>
      <c r="BL18" s="167"/>
      <c r="BM18" s="167">
        <v>1800</v>
      </c>
      <c r="BN18" s="167"/>
      <c r="BO18" s="167"/>
      <c r="BP18" s="167"/>
      <c r="BQ18" s="167"/>
      <c r="BR18" s="167"/>
      <c r="BS18" s="167"/>
      <c r="BT18" s="167"/>
      <c r="BU18" s="167"/>
      <c r="BV18" s="167"/>
      <c r="BW18" s="167"/>
      <c r="BX18" s="167"/>
      <c r="BY18" s="187" t="s">
        <v>928</v>
      </c>
      <c r="BZ18" s="187" t="s">
        <v>929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1040</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1012</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8" t="s">
        <v>620</v>
      </c>
      <c r="O20" s="538"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1556</v>
      </c>
      <c r="J21" s="196">
        <v>1394</v>
      </c>
      <c r="K21" s="196">
        <v>1408</v>
      </c>
      <c r="L21" s="196">
        <v>1845</v>
      </c>
      <c r="M21" s="196">
        <v>1260</v>
      </c>
      <c r="N21" s="196">
        <v>1789</v>
      </c>
      <c r="O21" s="196">
        <v>83</v>
      </c>
      <c r="P21" s="196">
        <v>1854</v>
      </c>
      <c r="Q21" s="196">
        <v>2628</v>
      </c>
      <c r="R21" s="196">
        <v>4245</v>
      </c>
      <c r="S21" s="196">
        <v>1292</v>
      </c>
      <c r="T21" s="196">
        <v>1232</v>
      </c>
      <c r="U21" s="196">
        <v>1205</v>
      </c>
      <c r="V21" s="196">
        <v>1556</v>
      </c>
      <c r="W21" s="196">
        <v>946</v>
      </c>
      <c r="X21" s="202">
        <v>1903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4</v>
      </c>
      <c r="AP21" s="168">
        <v>4</v>
      </c>
      <c r="AQ21" s="168">
        <v>4</v>
      </c>
      <c r="AR21" s="168">
        <v>4</v>
      </c>
      <c r="AS21" s="382" t="s">
        <v>201</v>
      </c>
      <c r="AT21" s="345"/>
      <c r="AU21" s="215"/>
      <c r="AV21" s="216"/>
      <c r="AW21" s="215"/>
      <c r="AX21" s="216"/>
      <c r="AY21" s="138">
        <f t="shared" si="16"/>
        <v>1292</v>
      </c>
      <c r="AZ21" s="139">
        <f t="shared" si="17"/>
        <v>1232</v>
      </c>
      <c r="BA21" s="139">
        <f t="shared" si="18"/>
        <v>1205</v>
      </c>
      <c r="BB21" s="139">
        <f t="shared" si="19"/>
        <v>1556</v>
      </c>
      <c r="BC21" s="135">
        <f t="shared" si="20"/>
        <v>946</v>
      </c>
      <c r="BD21" s="136">
        <f t="shared" si="12"/>
        <v>0.97808441558441561</v>
      </c>
      <c r="BE21" s="137">
        <f t="shared" si="13"/>
        <v>1.291286307053942</v>
      </c>
      <c r="BF21" s="137">
        <f t="shared" si="14"/>
        <v>0.7850622406639004</v>
      </c>
      <c r="BG21" s="209">
        <f t="shared" si="11"/>
        <v>2.0946058091286308</v>
      </c>
      <c r="BH21" s="168">
        <v>4</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1024</v>
      </c>
      <c r="EP21" s="382"/>
      <c r="EQ21" s="382"/>
      <c r="ER21" s="1345" t="s">
        <v>1007</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1015</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6099</v>
      </c>
      <c r="J23" s="197">
        <f t="shared" si="21"/>
        <v>14106</v>
      </c>
      <c r="K23" s="197">
        <f t="shared" si="21"/>
        <v>13844</v>
      </c>
      <c r="L23" s="197">
        <f t="shared" si="21"/>
        <v>6756</v>
      </c>
      <c r="M23" s="197">
        <f t="shared" si="21"/>
        <v>2816</v>
      </c>
      <c r="N23" s="197">
        <f t="shared" si="21"/>
        <v>9307</v>
      </c>
      <c r="O23" s="197">
        <f t="shared" si="21"/>
        <v>230</v>
      </c>
      <c r="P23" s="197">
        <f t="shared" si="21"/>
        <v>2158</v>
      </c>
      <c r="Q23" s="197">
        <f t="shared" si="21"/>
        <v>2867</v>
      </c>
      <c r="R23" s="197">
        <f t="shared" si="21"/>
        <v>4693</v>
      </c>
      <c r="S23" s="197">
        <f t="shared" si="21"/>
        <v>4846</v>
      </c>
      <c r="T23" s="197">
        <f t="shared" si="21"/>
        <v>13043</v>
      </c>
      <c r="U23" s="197">
        <f t="shared" si="21"/>
        <v>11860</v>
      </c>
      <c r="V23" s="197">
        <f t="shared" si="21"/>
        <v>6099</v>
      </c>
      <c r="W23" s="197">
        <f t="shared" si="21"/>
        <v>1973</v>
      </c>
      <c r="X23" s="197">
        <f t="shared" si="21"/>
        <v>8421</v>
      </c>
      <c r="Y23" s="197">
        <f t="shared" si="21"/>
        <v>0</v>
      </c>
      <c r="Z23" s="197">
        <f t="shared" si="21"/>
        <v>0</v>
      </c>
      <c r="AA23" s="197">
        <f t="shared" si="21"/>
        <v>0</v>
      </c>
      <c r="AB23" s="197">
        <f t="shared" si="21"/>
        <v>0</v>
      </c>
      <c r="AC23" s="197">
        <f t="shared" si="21"/>
        <v>3</v>
      </c>
      <c r="AD23" s="197">
        <f t="shared" si="21"/>
        <v>453</v>
      </c>
      <c r="AE23" s="197">
        <f t="shared" si="21"/>
        <v>450</v>
      </c>
      <c r="AF23" s="197">
        <f t="shared" si="21"/>
        <v>6</v>
      </c>
      <c r="AG23" s="197">
        <f t="shared" si="21"/>
        <v>0</v>
      </c>
      <c r="AH23" s="197">
        <f t="shared" si="21"/>
        <v>0</v>
      </c>
      <c r="AI23" s="197">
        <f t="shared" si="21"/>
        <v>0</v>
      </c>
      <c r="AJ23" s="197">
        <f t="shared" si="21"/>
        <v>0</v>
      </c>
      <c r="AK23" s="197">
        <f t="shared" si="21"/>
        <v>26</v>
      </c>
      <c r="AL23" s="197">
        <f t="shared" si="21"/>
        <v>431</v>
      </c>
      <c r="AM23" s="197">
        <f t="shared" si="21"/>
        <v>454</v>
      </c>
      <c r="AN23" s="197">
        <f t="shared" si="21"/>
        <v>3</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4846</v>
      </c>
      <c r="AZ23" s="197">
        <f>SUBTOTAL(9,AZ15:AZ22)</f>
        <v>13043</v>
      </c>
      <c r="BA23" s="197">
        <f>SUBTOTAL(9,BA15:BA22)</f>
        <v>11860</v>
      </c>
      <c r="BB23" s="197">
        <f>SUBTOTAL(9,BB15:BB22)</f>
        <v>6099</v>
      </c>
      <c r="BC23" s="197">
        <f>SUBTOTAL(9,BC15:BC22)</f>
        <v>1973</v>
      </c>
      <c r="BD23" s="219">
        <f>IF(ISNUMBER(BA23/AZ23),BA23/AZ23," - ")</f>
        <v>0.90930000766694774</v>
      </c>
      <c r="BE23" s="220">
        <f>IF(ISNUMBER(BB23/BA23),BB23/BA23, " - ")</f>
        <v>0.51424957841483976</v>
      </c>
      <c r="BF23" s="220">
        <f>IF(ISNUMBER(BC23/BA23),BC23/BA23, " - ")</f>
        <v>0.1663575042158516</v>
      </c>
      <c r="BG23" s="221">
        <f>IF(ISNUMBER((AY23+AZ23)/BA23),(AY23+AZ23)/BA23," - ")</f>
        <v>1.5083473861720067</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3044</v>
      </c>
      <c r="J28" s="196">
        <v>2780</v>
      </c>
      <c r="K28" s="196">
        <v>2775</v>
      </c>
      <c r="L28" s="196">
        <v>3018</v>
      </c>
      <c r="M28" s="196">
        <v>823</v>
      </c>
      <c r="N28" s="196">
        <v>497</v>
      </c>
      <c r="O28" s="196">
        <v>1645</v>
      </c>
      <c r="P28" s="196">
        <v>145</v>
      </c>
      <c r="Q28" s="196">
        <v>220</v>
      </c>
      <c r="R28" s="196">
        <v>123</v>
      </c>
      <c r="S28" s="196">
        <v>2118</v>
      </c>
      <c r="T28" s="196">
        <v>2741</v>
      </c>
      <c r="U28" s="196">
        <v>1844</v>
      </c>
      <c r="V28" s="196">
        <v>3044</v>
      </c>
      <c r="W28" s="196">
        <v>540</v>
      </c>
      <c r="X28" s="202">
        <v>224</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2" t="s">
        <v>200</v>
      </c>
      <c r="AT28" s="216"/>
      <c r="AU28" s="215"/>
      <c r="AV28" s="216"/>
      <c r="AW28" s="215"/>
      <c r="AX28" s="216"/>
      <c r="AY28" s="138">
        <f t="shared" ref="AY28:BC29" si="30">IF(ISNUMBER(S28),S28," - ")</f>
        <v>2118</v>
      </c>
      <c r="AZ28" s="139">
        <f t="shared" si="30"/>
        <v>2741</v>
      </c>
      <c r="BA28" s="139">
        <f t="shared" si="30"/>
        <v>1844</v>
      </c>
      <c r="BB28" s="139">
        <f t="shared" si="30"/>
        <v>3044</v>
      </c>
      <c r="BC28" s="135">
        <f t="shared" si="30"/>
        <v>540</v>
      </c>
      <c r="BD28" s="136">
        <f t="shared" ref="BD28:BD30" si="31">IF(ISNUMBER(BA28/AZ28),BA28/AZ28," - ")</f>
        <v>0.67274717256475736</v>
      </c>
      <c r="BE28" s="137">
        <f t="shared" ref="BE28:BE30" si="32">IF(ISNUMBER(BB28/BA28),BB28/BA28, " - ")</f>
        <v>1.6507592190889371</v>
      </c>
      <c r="BF28" s="137">
        <f t="shared" ref="BF28:BF30" si="33">IF(ISNUMBER(BC28/BA28),BC28/BA28, " - ")</f>
        <v>0.29284164859002171</v>
      </c>
      <c r="BG28" s="209">
        <f t="shared" ref="BG28:BG30" si="34">IF(ISNUMBER((AY28+AZ28)/BA28),(AY28+AZ28)/BA28," - ")</f>
        <v>2.6350325379609543</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1003</v>
      </c>
      <c r="EP28" s="1340"/>
      <c r="EQ28" s="1340"/>
      <c r="ER28" s="1345" t="s">
        <v>1006</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695</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1027</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3044</v>
      </c>
      <c r="J30" s="197">
        <f t="shared" si="35"/>
        <v>2780</v>
      </c>
      <c r="K30" s="197">
        <f t="shared" si="35"/>
        <v>2775</v>
      </c>
      <c r="L30" s="197">
        <f t="shared" si="35"/>
        <v>3018</v>
      </c>
      <c r="M30" s="197">
        <f t="shared" si="35"/>
        <v>823</v>
      </c>
      <c r="N30" s="197">
        <f t="shared" si="35"/>
        <v>497</v>
      </c>
      <c r="O30" s="197">
        <f t="shared" si="35"/>
        <v>1645</v>
      </c>
      <c r="P30" s="197">
        <f t="shared" si="35"/>
        <v>145</v>
      </c>
      <c r="Q30" s="197">
        <f t="shared" si="35"/>
        <v>220</v>
      </c>
      <c r="R30" s="197">
        <f t="shared" si="35"/>
        <v>123</v>
      </c>
      <c r="S30" s="197">
        <f t="shared" si="35"/>
        <v>2118</v>
      </c>
      <c r="T30" s="197">
        <f t="shared" si="35"/>
        <v>2741</v>
      </c>
      <c r="U30" s="197">
        <f t="shared" si="35"/>
        <v>1844</v>
      </c>
      <c r="V30" s="197">
        <f t="shared" si="35"/>
        <v>3044</v>
      </c>
      <c r="W30" s="197">
        <f t="shared" si="35"/>
        <v>540</v>
      </c>
      <c r="X30" s="141">
        <f t="shared" si="35"/>
        <v>224</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3">
        <f>SUBTOTAL(9,AS25:AS25)</f>
        <v>0</v>
      </c>
      <c r="AT30" s="142"/>
      <c r="AU30" s="217"/>
      <c r="AV30" s="142"/>
      <c r="AW30" s="217"/>
      <c r="AX30" s="142"/>
      <c r="AY30" s="140">
        <f>SUBTOTAL(9,AY28:AY29)</f>
        <v>2118</v>
      </c>
      <c r="AZ30" s="141">
        <f>SUBTOTAL(9,AZ28:AZ29)</f>
        <v>2741</v>
      </c>
      <c r="BA30" s="141">
        <f>SUBTOTAL(9,BA28:BA29)</f>
        <v>1844</v>
      </c>
      <c r="BB30" s="141">
        <f>SUBTOTAL(9,BB28:BB29)</f>
        <v>3044</v>
      </c>
      <c r="BC30" s="142">
        <f>SUBTOTAL(9,BC28:BC29)</f>
        <v>540</v>
      </c>
      <c r="BD30" s="140">
        <f t="shared" si="31"/>
        <v>0.67274717256475736</v>
      </c>
      <c r="BE30" s="141">
        <f t="shared" si="32"/>
        <v>1.6507592190889371</v>
      </c>
      <c r="BF30" s="141">
        <f t="shared" si="33"/>
        <v>0.29284164859002171</v>
      </c>
      <c r="BG30" s="142">
        <f t="shared" si="34"/>
        <v>2.6350325379609543</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22517</v>
      </c>
      <c r="J31" s="144">
        <f t="shared" si="36"/>
        <v>30662</v>
      </c>
      <c r="K31" s="144">
        <f t="shared" si="36"/>
        <v>29542</v>
      </c>
      <c r="L31" s="144">
        <f t="shared" si="36"/>
        <v>23897</v>
      </c>
      <c r="M31" s="144">
        <f t="shared" si="36"/>
        <v>7140</v>
      </c>
      <c r="N31" s="144">
        <f t="shared" si="36"/>
        <v>16103</v>
      </c>
      <c r="O31" s="144">
        <f t="shared" si="36"/>
        <v>8018</v>
      </c>
      <c r="P31" s="144">
        <f t="shared" si="36"/>
        <v>5294</v>
      </c>
      <c r="Q31" s="144">
        <f t="shared" si="36"/>
        <v>6852</v>
      </c>
      <c r="R31" s="144">
        <f t="shared" si="36"/>
        <v>20847</v>
      </c>
      <c r="S31" s="144">
        <f t="shared" si="36"/>
        <v>18937</v>
      </c>
      <c r="T31" s="144">
        <f t="shared" si="36"/>
        <v>27214</v>
      </c>
      <c r="U31" s="144">
        <f t="shared" si="36"/>
        <v>23886</v>
      </c>
      <c r="V31" s="144">
        <f t="shared" si="36"/>
        <v>22517</v>
      </c>
      <c r="W31" s="144">
        <f t="shared" si="36"/>
        <v>4781</v>
      </c>
      <c r="X31" s="144">
        <f t="shared" si="36"/>
        <v>13470</v>
      </c>
      <c r="Y31" s="144">
        <f t="shared" si="36"/>
        <v>341</v>
      </c>
      <c r="Z31" s="144">
        <f t="shared" si="36"/>
        <v>1452</v>
      </c>
      <c r="AA31" s="144">
        <f t="shared" si="36"/>
        <v>1444</v>
      </c>
      <c r="AB31" s="144">
        <f t="shared" si="36"/>
        <v>372</v>
      </c>
      <c r="AC31" s="144">
        <f t="shared" si="36"/>
        <v>3</v>
      </c>
      <c r="AD31" s="144">
        <f t="shared" si="36"/>
        <v>453</v>
      </c>
      <c r="AE31" s="144">
        <f t="shared" si="36"/>
        <v>450</v>
      </c>
      <c r="AF31" s="144">
        <f t="shared" si="36"/>
        <v>6</v>
      </c>
      <c r="AG31" s="144">
        <f t="shared" si="36"/>
        <v>308</v>
      </c>
      <c r="AH31" s="144">
        <f t="shared" si="36"/>
        <v>1119</v>
      </c>
      <c r="AI31" s="144">
        <f t="shared" si="36"/>
        <v>1086</v>
      </c>
      <c r="AJ31" s="144">
        <f t="shared" si="36"/>
        <v>341</v>
      </c>
      <c r="AK31" s="144">
        <f t="shared" si="36"/>
        <v>26</v>
      </c>
      <c r="AL31" s="144">
        <f t="shared" si="36"/>
        <v>431</v>
      </c>
      <c r="AM31" s="144">
        <f t="shared" si="36"/>
        <v>454</v>
      </c>
      <c r="AN31" s="224">
        <f t="shared" si="36"/>
        <v>3</v>
      </c>
      <c r="AO31" s="225">
        <v>23</v>
      </c>
      <c r="AP31" s="225">
        <v>23</v>
      </c>
      <c r="AQ31" s="225">
        <v>23</v>
      </c>
      <c r="AR31" s="225">
        <v>23</v>
      </c>
      <c r="AS31" s="166">
        <f t="shared" si="36"/>
        <v>0</v>
      </c>
      <c r="AT31" s="166">
        <f t="shared" si="36"/>
        <v>0</v>
      </c>
      <c r="AU31" s="225"/>
      <c r="AV31" s="226"/>
      <c r="AW31" s="225"/>
      <c r="AX31" s="226"/>
      <c r="AY31" s="143">
        <f>SUBTOTAL(9,AY9:AY30)</f>
        <v>19245</v>
      </c>
      <c r="AZ31" s="144">
        <f>SUBTOTAL(9,AZ9:AZ30)</f>
        <v>28333</v>
      </c>
      <c r="BA31" s="144">
        <f>SUBTOTAL(9,BA9:BA30)</f>
        <v>24972</v>
      </c>
      <c r="BB31" s="144">
        <f>SUBTOTAL(9,BB9:BB30)</f>
        <v>22858</v>
      </c>
      <c r="BC31" s="145">
        <f>SUBTOTAL(9,BC9:BC30)</f>
        <v>7339</v>
      </c>
      <c r="BD31" s="227">
        <f>IF(ISNUMBER(BA31/AZ31),BA31/AZ31," - ")</f>
        <v>0.88137507500088241</v>
      </c>
      <c r="BE31" s="224">
        <f>IF(ISNUMBER(BB31/BA31),BB31/BA31, " - ")</f>
        <v>0.9153451866090021</v>
      </c>
      <c r="BF31" s="224">
        <f>IF(ISNUMBER(BC31/BA31),BC31/BA31, " - ")</f>
        <v>0.2938891558545571</v>
      </c>
      <c r="BG31" s="145">
        <f>IF(ISNUMBER((AY31+AZ31)/BA31),(AY31+AZ31)/BA31," - ")</f>
        <v>1.9052538843504725</v>
      </c>
      <c r="BH31" s="225">
        <f>SUBTOTAL(9,BH9:BH30)</f>
        <v>24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NXxxOWTdZ2QoSekXx+m2ouRKKyXPxaTUKg5verUn37cWJMnBSeGhB9pEQD4XcQqdSmslb3KZ0SNNv5WcwNlhEw==" saltValue="Vo1jJfKxJWNfqh85G+U/s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496</v>
      </c>
      <c r="BN5" s="1607"/>
      <c r="BO5" s="1608"/>
      <c r="BP5" s="1607"/>
      <c r="BQ5" s="1608"/>
      <c r="BR5" s="1607"/>
      <c r="BS5" s="1608"/>
      <c r="BT5" s="1607"/>
      <c r="BU5" s="1608"/>
      <c r="BV5" s="1791" t="s">
        <v>343</v>
      </c>
      <c r="BW5" s="1844" t="s">
        <v>321</v>
      </c>
      <c r="BX5" s="1844"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595</v>
      </c>
      <c r="CL5" s="1746" t="s">
        <v>596</v>
      </c>
      <c r="CM5" s="1746" t="s">
        <v>597</v>
      </c>
      <c r="CN5" s="1768" t="s">
        <v>478</v>
      </c>
      <c r="CO5" s="1768" t="s">
        <v>471</v>
      </c>
      <c r="CP5" s="1768" t="s">
        <v>477</v>
      </c>
      <c r="CQ5" s="1761" t="s">
        <v>476</v>
      </c>
      <c r="CR5" s="1761" t="s">
        <v>58</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635</v>
      </c>
      <c r="DM5" s="1745" t="s">
        <v>700</v>
      </c>
      <c r="DN5" s="1745" t="s">
        <v>701</v>
      </c>
      <c r="DO5" s="1745" t="s">
        <v>702</v>
      </c>
      <c r="DP5" s="1745" t="s">
        <v>703</v>
      </c>
      <c r="DQ5" s="1745" t="s">
        <v>704</v>
      </c>
      <c r="DR5" s="1745" t="s">
        <v>705</v>
      </c>
      <c r="DS5" s="1745" t="s">
        <v>706</v>
      </c>
      <c r="DT5" s="1745" t="s">
        <v>707</v>
      </c>
      <c r="DU5" s="1752" t="s">
        <v>708</v>
      </c>
      <c r="DV5" s="1752" t="s">
        <v>709</v>
      </c>
      <c r="DW5" s="1749" t="s">
        <v>710</v>
      </c>
      <c r="DX5" s="1745" t="s">
        <v>711</v>
      </c>
      <c r="DY5" s="1733" t="s">
        <v>712</v>
      </c>
      <c r="DZ5" s="1749" t="s">
        <v>713</v>
      </c>
      <c r="EA5" s="1733" t="s">
        <v>714</v>
      </c>
      <c r="EB5" s="1742" t="s">
        <v>774</v>
      </c>
      <c r="EC5" s="1742" t="s">
        <v>811</v>
      </c>
      <c r="ED5" s="1742" t="s">
        <v>776</v>
      </c>
      <c r="EE5" s="1742" t="s">
        <v>816</v>
      </c>
      <c r="EF5" s="1742" t="s">
        <v>817</v>
      </c>
      <c r="EG5" s="1733" t="s">
        <v>818</v>
      </c>
      <c r="EH5" s="1733" t="s">
        <v>819</v>
      </c>
      <c r="EI5" s="1733" t="s">
        <v>778</v>
      </c>
      <c r="EJ5" s="1733" t="s">
        <v>779</v>
      </c>
      <c r="EK5" s="1841"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886</v>
      </c>
      <c r="EM7" s="852" t="s">
        <v>126</v>
      </c>
      <c r="EN7" s="852" t="s">
        <v>127</v>
      </c>
      <c r="EO7" s="1729"/>
      <c r="EP7" s="1729"/>
      <c r="EQ7" s="1729"/>
      <c r="ER7" s="1729"/>
      <c r="ES7" s="1729"/>
      <c r="ET7" s="1726"/>
      <c r="EU7" s="1726"/>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457</v>
      </c>
      <c r="CC8" s="53" t="s">
        <v>460</v>
      </c>
      <c r="CD8" s="53" t="s">
        <v>462</v>
      </c>
      <c r="CE8" s="53" t="s">
        <v>472</v>
      </c>
      <c r="CF8" s="53" t="s">
        <v>473</v>
      </c>
      <c r="CG8" s="53" t="s">
        <v>474</v>
      </c>
      <c r="CH8" s="53" t="s">
        <v>475</v>
      </c>
      <c r="CI8" s="53" t="s">
        <v>499</v>
      </c>
      <c r="CJ8" s="53" t="s">
        <v>501</v>
      </c>
      <c r="CK8" s="53" t="s">
        <v>288</v>
      </c>
      <c r="CL8" s="53" t="s">
        <v>405</v>
      </c>
      <c r="CM8" s="53" t="s">
        <v>410</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36"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536" t="s">
        <v>887</v>
      </c>
      <c r="EM8" s="536" t="s">
        <v>888</v>
      </c>
      <c r="EN8" s="536" t="s">
        <v>889</v>
      </c>
      <c r="EO8" s="53" t="s">
        <v>992</v>
      </c>
      <c r="EP8" s="53" t="s">
        <v>998</v>
      </c>
      <c r="EQ8" s="53" t="s">
        <v>999</v>
      </c>
      <c r="ER8" s="536">
        <v>148</v>
      </c>
      <c r="ES8" s="536" t="s">
        <v>1011</v>
      </c>
      <c r="ET8" s="1522" t="s">
        <v>1129</v>
      </c>
      <c r="EU8" s="1522" t="s">
        <v>1130</v>
      </c>
    </row>
    <row r="9" spans="1:151" s="793" customFormat="1" ht="14.25" customHeight="1">
      <c r="A9" s="828" t="s">
        <v>69</v>
      </c>
      <c r="B9" s="775" t="s">
        <v>513</v>
      </c>
      <c r="C9" s="776" t="s">
        <v>8</v>
      </c>
      <c r="D9" s="777" t="s">
        <v>25</v>
      </c>
      <c r="E9" s="775" t="s">
        <v>26</v>
      </c>
      <c r="F9" s="775">
        <v>32</v>
      </c>
      <c r="G9" s="778"/>
      <c r="H9" s="829" t="s">
        <v>314</v>
      </c>
      <c r="I9" s="830" t="s">
        <v>1083</v>
      </c>
      <c r="J9" s="780" t="s">
        <v>1073</v>
      </c>
      <c r="K9" s="780" t="s">
        <v>1088</v>
      </c>
      <c r="L9" s="780" t="s">
        <v>1107</v>
      </c>
      <c r="M9" s="780" t="s">
        <v>647</v>
      </c>
      <c r="N9" s="780" t="s">
        <v>417</v>
      </c>
      <c r="O9" s="780" t="s">
        <v>414</v>
      </c>
      <c r="P9" s="780" t="s">
        <v>479</v>
      </c>
      <c r="Q9" s="780" t="s">
        <v>480</v>
      </c>
      <c r="R9" s="780" t="s">
        <v>481</v>
      </c>
      <c r="S9" s="780"/>
      <c r="T9" s="780"/>
      <c r="U9" s="780"/>
      <c r="V9" s="780"/>
      <c r="W9" s="780"/>
      <c r="X9" s="831"/>
      <c r="Y9" s="832" t="s">
        <v>262</v>
      </c>
      <c r="Z9" s="780" t="s">
        <v>482</v>
      </c>
      <c r="AA9" s="780" t="s">
        <v>204</v>
      </c>
      <c r="AB9" s="780" t="s">
        <v>205</v>
      </c>
      <c r="AC9" s="780"/>
      <c r="AD9" s="780"/>
      <c r="AE9" s="780"/>
      <c r="AF9" s="831"/>
      <c r="AG9" s="832"/>
      <c r="AH9" s="780"/>
      <c r="AI9" s="780"/>
      <c r="AJ9" s="833"/>
      <c r="AK9" s="830"/>
      <c r="AL9" s="780"/>
      <c r="AM9" s="780"/>
      <c r="AN9" s="831"/>
      <c r="AO9" s="834"/>
      <c r="AP9" s="834"/>
      <c r="AQ9" s="834"/>
      <c r="AR9" s="835"/>
      <c r="AS9" s="836" t="s">
        <v>1074</v>
      </c>
      <c r="AT9" s="837"/>
      <c r="AU9" s="836" t="s">
        <v>1101</v>
      </c>
      <c r="AV9" s="837"/>
      <c r="AW9" s="836" t="s">
        <v>1108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656</v>
      </c>
      <c r="BW9" s="534" t="s">
        <v>382</v>
      </c>
      <c r="BX9" s="534" t="s">
        <v>383</v>
      </c>
      <c r="BY9" s="534" t="s">
        <v>1089</v>
      </c>
      <c r="BZ9" s="534" t="s">
        <v>637</v>
      </c>
      <c r="CA9" s="534" t="s">
        <v>527</v>
      </c>
      <c r="CB9" s="534" t="s">
        <v>528</v>
      </c>
      <c r="CC9" s="534" t="s">
        <v>529</v>
      </c>
      <c r="CD9" s="534" t="s">
        <v>530</v>
      </c>
      <c r="CE9" s="534"/>
      <c r="CF9" s="534"/>
      <c r="CG9" s="534"/>
      <c r="CH9" s="534"/>
      <c r="CI9" s="534" t="s">
        <v>666</v>
      </c>
      <c r="CJ9" s="534" t="s">
        <v>531</v>
      </c>
      <c r="CK9" s="534" t="s">
        <v>650</v>
      </c>
      <c r="CL9" s="534" t="s">
        <v>652</v>
      </c>
      <c r="CM9" s="534" t="s">
        <v>654</v>
      </c>
      <c r="CN9" s="534">
        <v>1088</v>
      </c>
      <c r="CO9" s="534">
        <v>720</v>
      </c>
      <c r="CP9" s="534">
        <v>1088</v>
      </c>
      <c r="CQ9" s="841" t="s">
        <v>1090</v>
      </c>
      <c r="CR9" s="841" t="s">
        <v>638</v>
      </c>
      <c r="CS9" s="534"/>
      <c r="CT9" s="534"/>
      <c r="CU9" s="534"/>
      <c r="CV9" s="534" t="s">
        <v>661</v>
      </c>
      <c r="CW9" s="534" t="s">
        <v>526</v>
      </c>
      <c r="CX9" s="534" t="s">
        <v>448</v>
      </c>
      <c r="CY9" s="534" t="s">
        <v>569</v>
      </c>
      <c r="CZ9" s="534" t="s">
        <v>570</v>
      </c>
      <c r="DA9" s="534" t="s">
        <v>571</v>
      </c>
      <c r="DB9" s="836" t="s">
        <v>1075</v>
      </c>
      <c r="DC9" s="836" t="s">
        <v>1076</v>
      </c>
      <c r="DD9" s="534"/>
      <c r="DE9" s="534" t="s">
        <v>305</v>
      </c>
      <c r="DF9" s="534"/>
      <c r="DG9" s="534" t="s">
        <v>582</v>
      </c>
      <c r="DH9" s="534" t="s">
        <v>658</v>
      </c>
      <c r="DI9" s="534" t="s">
        <v>659</v>
      </c>
      <c r="DJ9" s="534" t="s">
        <v>660</v>
      </c>
      <c r="DK9" s="534"/>
      <c r="DL9" s="534"/>
      <c r="DM9" s="534"/>
      <c r="DN9" s="534"/>
      <c r="DO9" s="534"/>
      <c r="DP9" s="534"/>
      <c r="DQ9" s="534"/>
      <c r="DR9" s="534"/>
      <c r="DS9" s="534"/>
      <c r="DT9" s="534"/>
      <c r="DU9" s="534" t="s">
        <v>874</v>
      </c>
      <c r="DV9" s="534" t="s">
        <v>869</v>
      </c>
      <c r="DW9" s="534" t="s">
        <v>870</v>
      </c>
      <c r="DX9" s="534" t="s">
        <v>871</v>
      </c>
      <c r="DY9" s="534" t="s">
        <v>872</v>
      </c>
      <c r="DZ9" s="534"/>
      <c r="EA9" s="534"/>
      <c r="EB9" s="534"/>
      <c r="EC9" s="534"/>
      <c r="ED9" s="534"/>
      <c r="EE9" s="534"/>
      <c r="EF9" s="534"/>
      <c r="EG9" s="534"/>
      <c r="EH9" s="534"/>
      <c r="EI9" s="534"/>
      <c r="EJ9" s="534"/>
      <c r="EK9" s="534"/>
      <c r="EL9" s="841" t="s">
        <v>1062</v>
      </c>
      <c r="EM9" s="841" t="s">
        <v>1063</v>
      </c>
      <c r="EN9" s="534" t="s">
        <v>1061</v>
      </c>
      <c r="EO9" s="1323" t="s">
        <v>1066</v>
      </c>
      <c r="EP9" s="1323" t="s">
        <v>1091</v>
      </c>
      <c r="EQ9" s="1323" t="s">
        <v>1109</v>
      </c>
      <c r="ER9" s="1341">
        <v>1200</v>
      </c>
      <c r="ES9" s="1336"/>
      <c r="ET9" s="1523"/>
      <c r="EU9" s="1523"/>
    </row>
    <row r="10" spans="1:151" ht="14.25" customHeight="1">
      <c r="A10" s="147" t="s">
        <v>184</v>
      </c>
      <c r="B10" s="21" t="s">
        <v>513</v>
      </c>
      <c r="C10" s="22" t="s">
        <v>8</v>
      </c>
      <c r="D10" s="23" t="s">
        <v>111</v>
      </c>
      <c r="E10" s="21" t="s">
        <v>111</v>
      </c>
      <c r="F10" s="21" t="s">
        <v>179</v>
      </c>
      <c r="G10" s="6"/>
      <c r="H10" s="146"/>
      <c r="I10" s="193" t="s">
        <v>683</v>
      </c>
      <c r="J10" s="194" t="s">
        <v>681</v>
      </c>
      <c r="K10" s="194" t="s">
        <v>682</v>
      </c>
      <c r="L10" s="194" t="s">
        <v>687</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453</v>
      </c>
      <c r="BX10" s="167" t="s">
        <v>454</v>
      </c>
      <c r="BY10" s="167" t="s">
        <v>1021</v>
      </c>
      <c r="BZ10" s="167"/>
      <c r="CA10" s="167"/>
      <c r="CB10" s="167"/>
      <c r="CC10" s="167"/>
      <c r="CD10" s="167"/>
      <c r="CE10" s="167"/>
      <c r="CF10" s="167"/>
      <c r="CG10" s="167"/>
      <c r="CH10" s="167"/>
      <c r="CI10" s="167" t="s">
        <v>668</v>
      </c>
      <c r="CJ10" s="167" t="s">
        <v>379</v>
      </c>
      <c r="CK10" s="167" t="s">
        <v>599</v>
      </c>
      <c r="CL10" s="167" t="s">
        <v>600</v>
      </c>
      <c r="CM10" s="167" t="s">
        <v>601</v>
      </c>
      <c r="CN10" s="167">
        <v>1175</v>
      </c>
      <c r="CO10" s="167">
        <v>0</v>
      </c>
      <c r="CP10" s="315" t="s">
        <v>533</v>
      </c>
      <c r="CQ10" s="167" t="s">
        <v>1022</v>
      </c>
      <c r="CR10" s="167"/>
      <c r="CS10" s="167"/>
      <c r="CT10" s="169"/>
      <c r="CU10" s="169"/>
      <c r="CV10" s="169" t="s">
        <v>400</v>
      </c>
      <c r="CW10" s="169" t="s">
        <v>440</v>
      </c>
      <c r="CX10" s="169" t="s">
        <v>443</v>
      </c>
      <c r="CY10" s="169" t="s">
        <v>669</v>
      </c>
      <c r="CZ10" s="169" t="s">
        <v>670</v>
      </c>
      <c r="DA10" s="169" t="s">
        <v>671</v>
      </c>
      <c r="DB10" s="355" t="s">
        <v>684</v>
      </c>
      <c r="DC10" s="354"/>
      <c r="DD10" s="169"/>
      <c r="DE10" s="169" t="s">
        <v>306</v>
      </c>
      <c r="DF10" s="169"/>
      <c r="DG10" s="169" t="s">
        <v>672</v>
      </c>
      <c r="DH10" s="167" t="s">
        <v>547</v>
      </c>
      <c r="DI10" s="167" t="s">
        <v>545</v>
      </c>
      <c r="DJ10" s="167" t="s">
        <v>546</v>
      </c>
      <c r="DK10" s="167"/>
      <c r="DL10" s="167"/>
      <c r="DM10" s="315"/>
      <c r="DN10" s="315"/>
      <c r="DO10" s="315"/>
      <c r="DP10" s="315"/>
      <c r="DQ10" s="315"/>
      <c r="DR10" s="315"/>
      <c r="DS10" s="315"/>
      <c r="DT10" s="315"/>
      <c r="DU10" s="168" t="s">
        <v>796</v>
      </c>
      <c r="DV10" s="315" t="s">
        <v>923</v>
      </c>
      <c r="DW10" s="315" t="s">
        <v>920</v>
      </c>
      <c r="DX10" s="315" t="s">
        <v>921</v>
      </c>
      <c r="DY10" s="315" t="s">
        <v>922</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1084</v>
      </c>
      <c r="J11" s="350" t="s">
        <v>1077</v>
      </c>
      <c r="K11" s="350" t="s">
        <v>1102</v>
      </c>
      <c r="L11" s="350" t="s">
        <v>1110</v>
      </c>
      <c r="M11" s="350" t="s">
        <v>646</v>
      </c>
      <c r="N11" s="350" t="s">
        <v>53</v>
      </c>
      <c r="O11" s="780" t="s">
        <v>282</v>
      </c>
      <c r="P11" s="350" t="s">
        <v>54</v>
      </c>
      <c r="Q11" s="350" t="s">
        <v>55</v>
      </c>
      <c r="R11" s="350" t="s">
        <v>122</v>
      </c>
      <c r="S11" s="350"/>
      <c r="T11" s="350"/>
      <c r="U11" s="350"/>
      <c r="V11" s="350"/>
      <c r="W11" s="350"/>
      <c r="X11" s="781"/>
      <c r="Y11" s="832" t="s">
        <v>262</v>
      </c>
      <c r="Z11" s="780" t="s">
        <v>482</v>
      </c>
      <c r="AA11" s="780" t="s">
        <v>204</v>
      </c>
      <c r="AB11" s="780" t="s">
        <v>205</v>
      </c>
      <c r="AC11" s="350"/>
      <c r="AD11" s="350"/>
      <c r="AE11" s="350"/>
      <c r="AF11" s="781"/>
      <c r="AG11" s="782"/>
      <c r="AH11" s="350"/>
      <c r="AI11" s="350"/>
      <c r="AJ11" s="783"/>
      <c r="AK11" s="351"/>
      <c r="AL11" s="350"/>
      <c r="AM11" s="350"/>
      <c r="AN11" s="781"/>
      <c r="AO11" s="784"/>
      <c r="AP11" s="784"/>
      <c r="AQ11" s="784"/>
      <c r="AR11" s="834"/>
      <c r="AS11" s="782" t="s">
        <v>1078</v>
      </c>
      <c r="AT11" s="783"/>
      <c r="AU11" s="782" t="s">
        <v>1103</v>
      </c>
      <c r="AV11" s="783"/>
      <c r="AW11" s="782" t="s">
        <v>1111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655</v>
      </c>
      <c r="BW11" s="534" t="s">
        <v>325</v>
      </c>
      <c r="BX11" s="534" t="s">
        <v>326</v>
      </c>
      <c r="BY11" s="796" t="s">
        <v>1104</v>
      </c>
      <c r="BZ11" s="534" t="s">
        <v>988</v>
      </c>
      <c r="CA11" s="534" t="s">
        <v>361</v>
      </c>
      <c r="CB11" s="534" t="s">
        <v>356</v>
      </c>
      <c r="CC11" s="534" t="s">
        <v>357</v>
      </c>
      <c r="CD11" s="534" t="s">
        <v>358</v>
      </c>
      <c r="CE11" s="796"/>
      <c r="CF11" s="796"/>
      <c r="CG11" s="796"/>
      <c r="CH11" s="796"/>
      <c r="CI11" s="796" t="s">
        <v>639</v>
      </c>
      <c r="CJ11" s="796" t="s">
        <v>373</v>
      </c>
      <c r="CK11" s="534" t="s">
        <v>649</v>
      </c>
      <c r="CL11" s="534" t="s">
        <v>651</v>
      </c>
      <c r="CM11" s="534" t="s">
        <v>653</v>
      </c>
      <c r="CN11" s="534">
        <v>1088</v>
      </c>
      <c r="CO11" s="796">
        <v>1000</v>
      </c>
      <c r="CP11" s="534">
        <v>1088</v>
      </c>
      <c r="CQ11" s="534" t="s">
        <v>1092</v>
      </c>
      <c r="CR11" s="534" t="s">
        <v>989</v>
      </c>
      <c r="CS11" s="796"/>
      <c r="CT11" s="534"/>
      <c r="CU11" s="534"/>
      <c r="CV11" s="534" t="s">
        <v>661</v>
      </c>
      <c r="CW11" s="534" t="s">
        <v>433</v>
      </c>
      <c r="CX11" s="534" t="s">
        <v>448</v>
      </c>
      <c r="CY11" s="534" t="s">
        <v>569</v>
      </c>
      <c r="CZ11" s="534" t="s">
        <v>570</v>
      </c>
      <c r="DA11" s="534" t="s">
        <v>571</v>
      </c>
      <c r="DB11" s="363" t="s">
        <v>1079</v>
      </c>
      <c r="DC11" s="363" t="s">
        <v>1080</v>
      </c>
      <c r="DD11" s="534"/>
      <c r="DE11" s="534" t="s">
        <v>307</v>
      </c>
      <c r="DF11" s="534"/>
      <c r="DG11" s="534" t="s">
        <v>582</v>
      </c>
      <c r="DH11" s="534" t="s">
        <v>658</v>
      </c>
      <c r="DI11" s="534" t="s">
        <v>659</v>
      </c>
      <c r="DJ11" s="534" t="s">
        <v>660</v>
      </c>
      <c r="DK11" s="534"/>
      <c r="DL11" s="534"/>
      <c r="DM11" s="841"/>
      <c r="DN11" s="841"/>
      <c r="DO11" s="841"/>
      <c r="DP11" s="841"/>
      <c r="DQ11" s="841"/>
      <c r="DR11" s="841"/>
      <c r="DS11" s="841"/>
      <c r="DT11" s="841"/>
      <c r="DU11" s="841" t="s">
        <v>874</v>
      </c>
      <c r="DV11" s="841" t="s">
        <v>869</v>
      </c>
      <c r="DW11" s="841" t="s">
        <v>870</v>
      </c>
      <c r="DX11" s="841" t="s">
        <v>871</v>
      </c>
      <c r="DY11" s="841" t="s">
        <v>872</v>
      </c>
      <c r="DZ11" s="841"/>
      <c r="EA11" s="841"/>
      <c r="EB11" s="841"/>
      <c r="EC11" s="841"/>
      <c r="ED11" s="841"/>
      <c r="EE11" s="841"/>
      <c r="EF11" s="841"/>
      <c r="EG11" s="841"/>
      <c r="EH11" s="841"/>
      <c r="EI11" s="841"/>
      <c r="EJ11" s="841"/>
      <c r="EK11" s="841"/>
      <c r="EL11" s="841"/>
      <c r="EM11" s="841"/>
      <c r="EN11" s="841"/>
      <c r="EO11" s="1367" t="s">
        <v>1117</v>
      </c>
      <c r="EP11" s="1367" t="s">
        <v>1093</v>
      </c>
      <c r="EQ11" s="1367" t="s">
        <v>1112</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1085</v>
      </c>
      <c r="J12" s="350" t="s">
        <v>1118</v>
      </c>
      <c r="K12" s="350" t="s">
        <v>1094</v>
      </c>
      <c r="L12" s="350" t="s">
        <v>1113</v>
      </c>
      <c r="M12" s="350" t="s">
        <v>674</v>
      </c>
      <c r="N12" s="350" t="s">
        <v>53</v>
      </c>
      <c r="O12" s="780" t="s">
        <v>282</v>
      </c>
      <c r="P12" s="350" t="s">
        <v>490</v>
      </c>
      <c r="Q12" s="350" t="s">
        <v>491</v>
      </c>
      <c r="R12" s="350" t="s">
        <v>492</v>
      </c>
      <c r="S12" s="350"/>
      <c r="T12" s="350"/>
      <c r="U12" s="350"/>
      <c r="V12" s="350"/>
      <c r="W12" s="350"/>
      <c r="X12" s="781"/>
      <c r="Y12" s="832" t="s">
        <v>262</v>
      </c>
      <c r="Z12" s="780" t="s">
        <v>482</v>
      </c>
      <c r="AA12" s="780" t="s">
        <v>204</v>
      </c>
      <c r="AB12" s="780" t="s">
        <v>205</v>
      </c>
      <c r="AC12" s="350"/>
      <c r="AD12" s="350"/>
      <c r="AE12" s="350"/>
      <c r="AF12" s="781"/>
      <c r="AG12" s="782"/>
      <c r="AH12" s="350"/>
      <c r="AI12" s="350"/>
      <c r="AJ12" s="783"/>
      <c r="AK12" s="351"/>
      <c r="AL12" s="350"/>
      <c r="AM12" s="350"/>
      <c r="AN12" s="781"/>
      <c r="AO12" s="784"/>
      <c r="AP12" s="784"/>
      <c r="AQ12" s="784"/>
      <c r="AR12" s="834"/>
      <c r="AS12" s="782" t="s">
        <v>1119</v>
      </c>
      <c r="AT12" s="783"/>
      <c r="AU12" s="782" t="s">
        <v>1095</v>
      </c>
      <c r="AV12" s="783"/>
      <c r="AW12" s="782" t="s">
        <v>1114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657</v>
      </c>
      <c r="BW12" s="534" t="s">
        <v>493</v>
      </c>
      <c r="BX12" s="534" t="s">
        <v>494</v>
      </c>
      <c r="BY12" s="796" t="s">
        <v>1096</v>
      </c>
      <c r="BZ12" s="534"/>
      <c r="CA12" s="534" t="s">
        <v>361</v>
      </c>
      <c r="CB12" s="534" t="s">
        <v>356</v>
      </c>
      <c r="CC12" s="534" t="s">
        <v>357</v>
      </c>
      <c r="CD12" s="534" t="s">
        <v>358</v>
      </c>
      <c r="CE12" s="796"/>
      <c r="CF12" s="796"/>
      <c r="CG12" s="796"/>
      <c r="CH12" s="796"/>
      <c r="CI12" s="796" t="s">
        <v>639</v>
      </c>
      <c r="CJ12" s="796" t="s">
        <v>373</v>
      </c>
      <c r="CK12" s="534" t="s">
        <v>650</v>
      </c>
      <c r="CL12" s="534" t="s">
        <v>652</v>
      </c>
      <c r="CM12" s="534" t="s">
        <v>654</v>
      </c>
      <c r="CN12" s="841" t="s">
        <v>429</v>
      </c>
      <c r="CO12" s="796">
        <v>2880</v>
      </c>
      <c r="CP12" s="841" t="s">
        <v>386</v>
      </c>
      <c r="CQ12" s="841" t="s">
        <v>1097</v>
      </c>
      <c r="CR12" s="841"/>
      <c r="CS12" s="796"/>
      <c r="CT12" s="534"/>
      <c r="CU12" s="534"/>
      <c r="CV12" s="534" t="s">
        <v>661</v>
      </c>
      <c r="CW12" s="534" t="s">
        <v>433</v>
      </c>
      <c r="CX12" s="534" t="s">
        <v>448</v>
      </c>
      <c r="CY12" s="534" t="s">
        <v>569</v>
      </c>
      <c r="CZ12" s="534" t="s">
        <v>570</v>
      </c>
      <c r="DA12" s="534" t="s">
        <v>571</v>
      </c>
      <c r="DB12" s="836" t="s">
        <v>1120</v>
      </c>
      <c r="DC12" s="836" t="s">
        <v>1121</v>
      </c>
      <c r="DD12" s="534"/>
      <c r="DE12" s="534" t="s">
        <v>308</v>
      </c>
      <c r="DF12" s="534"/>
      <c r="DG12" s="534" t="s">
        <v>582</v>
      </c>
      <c r="DH12" s="534" t="s">
        <v>658</v>
      </c>
      <c r="DI12" s="534" t="s">
        <v>659</v>
      </c>
      <c r="DJ12" s="534" t="s">
        <v>660</v>
      </c>
      <c r="DK12" s="534"/>
      <c r="DL12" s="534"/>
      <c r="DM12" s="841"/>
      <c r="DN12" s="841"/>
      <c r="DO12" s="841"/>
      <c r="DP12" s="841"/>
      <c r="DQ12" s="841"/>
      <c r="DR12" s="841"/>
      <c r="DS12" s="841"/>
      <c r="DT12" s="841"/>
      <c r="DU12" s="841" t="s">
        <v>874</v>
      </c>
      <c r="DV12" s="841" t="s">
        <v>869</v>
      </c>
      <c r="DW12" s="841" t="s">
        <v>870</v>
      </c>
      <c r="DX12" s="841" t="s">
        <v>871</v>
      </c>
      <c r="DY12" s="841" t="s">
        <v>872</v>
      </c>
      <c r="DZ12" s="841"/>
      <c r="EA12" s="841"/>
      <c r="EB12" s="841"/>
      <c r="EC12" s="841"/>
      <c r="ED12" s="841"/>
      <c r="EE12" s="841"/>
      <c r="EF12" s="841"/>
      <c r="EG12" s="841"/>
      <c r="EH12" s="841"/>
      <c r="EI12" s="841"/>
      <c r="EJ12" s="841"/>
      <c r="EK12" s="841"/>
      <c r="EL12" s="841" t="s">
        <v>1062</v>
      </c>
      <c r="EM12" s="841" t="s">
        <v>1063</v>
      </c>
      <c r="EN12" s="534" t="s">
        <v>1061</v>
      </c>
      <c r="EO12" s="1323" t="s">
        <v>1081</v>
      </c>
      <c r="EP12" s="1323" t="s">
        <v>1098</v>
      </c>
      <c r="EQ12" s="1323" t="s">
        <v>1115</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425</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426</v>
      </c>
      <c r="CR13" s="170"/>
      <c r="CS13" s="170"/>
      <c r="CT13" s="169"/>
      <c r="CU13" s="169"/>
      <c r="CV13" s="169" t="s">
        <v>402</v>
      </c>
      <c r="CW13" s="169"/>
      <c r="CX13" s="169"/>
      <c r="CY13" s="169"/>
      <c r="CZ13" s="169"/>
      <c r="DA13" s="169"/>
      <c r="DB13" s="160" t="s">
        <v>136</v>
      </c>
      <c r="DC13" s="356"/>
      <c r="DD13" s="169"/>
      <c r="DE13" s="169" t="s">
        <v>309</v>
      </c>
      <c r="DF13" s="169"/>
      <c r="DG13" s="534"/>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677</v>
      </c>
      <c r="J16" s="350" t="s">
        <v>1041</v>
      </c>
      <c r="K16" s="350" t="s">
        <v>1049</v>
      </c>
      <c r="L16" s="350" t="s">
        <v>1054</v>
      </c>
      <c r="M16" s="350" t="s">
        <v>676</v>
      </c>
      <c r="N16" s="350" t="s">
        <v>415</v>
      </c>
      <c r="O16" s="780" t="s">
        <v>416</v>
      </c>
      <c r="P16" s="350" t="s">
        <v>629</v>
      </c>
      <c r="Q16" s="350" t="s">
        <v>630</v>
      </c>
      <c r="R16" s="350" t="s">
        <v>631</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987</v>
      </c>
      <c r="AT16" s="783" t="s">
        <v>934</v>
      </c>
      <c r="AU16" s="782" t="s">
        <v>688</v>
      </c>
      <c r="AV16" s="783" t="s">
        <v>935</v>
      </c>
      <c r="AW16" s="782" t="s">
        <v>689</v>
      </c>
      <c r="AX16" s="783" t="s">
        <v>936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489</v>
      </c>
      <c r="BW16" s="791" t="s">
        <v>384</v>
      </c>
      <c r="BX16" s="791" t="s">
        <v>385</v>
      </c>
      <c r="BY16" s="792" t="s">
        <v>1023</v>
      </c>
      <c r="BZ16" s="792" t="s">
        <v>1105</v>
      </c>
      <c r="CA16" s="791"/>
      <c r="CB16" s="791"/>
      <c r="CC16" s="791"/>
      <c r="CD16" s="791"/>
      <c r="CE16" s="791"/>
      <c r="CF16" s="791"/>
      <c r="CG16" s="791"/>
      <c r="CH16" s="791"/>
      <c r="CI16" s="791" t="s">
        <v>645</v>
      </c>
      <c r="CJ16" s="791" t="s">
        <v>508</v>
      </c>
      <c r="CK16" s="791" t="s">
        <v>605</v>
      </c>
      <c r="CL16" s="791" t="s">
        <v>606</v>
      </c>
      <c r="CM16" s="791" t="s">
        <v>607</v>
      </c>
      <c r="CN16" s="791">
        <v>1262</v>
      </c>
      <c r="CO16" s="791">
        <v>6600</v>
      </c>
      <c r="CP16" s="791">
        <v>1262</v>
      </c>
      <c r="CQ16" s="792" t="s">
        <v>678</v>
      </c>
      <c r="CR16" s="792" t="s">
        <v>1099</v>
      </c>
      <c r="CS16" s="791" t="s">
        <v>498</v>
      </c>
      <c r="CT16" s="534"/>
      <c r="CU16" s="534"/>
      <c r="CV16" s="534" t="s">
        <v>483</v>
      </c>
      <c r="CW16" s="534" t="s">
        <v>434</v>
      </c>
      <c r="CX16" s="534" t="s">
        <v>216</v>
      </c>
      <c r="CY16" s="534"/>
      <c r="CZ16" s="534"/>
      <c r="DA16" s="534"/>
      <c r="DB16" s="363" t="s">
        <v>1042</v>
      </c>
      <c r="DC16" s="363" t="s">
        <v>1043</v>
      </c>
      <c r="DD16" s="534"/>
      <c r="DE16" s="534" t="s">
        <v>686</v>
      </c>
      <c r="DF16" s="534" t="s">
        <v>525</v>
      </c>
      <c r="DG16" s="534"/>
      <c r="DH16" s="791" t="s">
        <v>542</v>
      </c>
      <c r="DI16" s="791" t="s">
        <v>543</v>
      </c>
      <c r="DJ16" s="791" t="s">
        <v>544</v>
      </c>
      <c r="DK16" s="791"/>
      <c r="DL16" s="791"/>
      <c r="DM16" s="791"/>
      <c r="DN16" s="791"/>
      <c r="DO16" s="791"/>
      <c r="DP16" s="791"/>
      <c r="DQ16" s="791"/>
      <c r="DR16" s="791"/>
      <c r="DS16" s="791"/>
      <c r="DT16" s="791"/>
      <c r="DU16" s="791" t="s">
        <v>795</v>
      </c>
      <c r="DV16" s="791"/>
      <c r="DW16" s="791"/>
      <c r="DX16" s="791"/>
      <c r="DY16" s="791"/>
      <c r="DZ16" s="791"/>
      <c r="EA16" s="791"/>
      <c r="EB16" s="791" t="s">
        <v>984</v>
      </c>
      <c r="EC16" s="791" t="s">
        <v>808</v>
      </c>
      <c r="ED16" s="791"/>
      <c r="EE16" s="791">
        <v>6000</v>
      </c>
      <c r="EF16" s="791">
        <v>650</v>
      </c>
      <c r="EG16" s="791"/>
      <c r="EH16" s="791"/>
      <c r="EI16" s="791" t="s">
        <v>809</v>
      </c>
      <c r="EJ16" s="791"/>
      <c r="EK16" s="791"/>
      <c r="EL16" s="791"/>
      <c r="EM16" s="791"/>
      <c r="EN16" s="791"/>
      <c r="EO16" s="1322" t="s">
        <v>1082</v>
      </c>
      <c r="EP16" s="1322" t="s">
        <v>1100</v>
      </c>
      <c r="EQ16" s="1322" t="s">
        <v>1116</v>
      </c>
      <c r="ER16" s="1345" t="s">
        <v>1032</v>
      </c>
      <c r="ES16" s="1337"/>
      <c r="ET16" s="1523"/>
      <c r="EU16" s="1523"/>
    </row>
    <row r="17" spans="1:151" ht="14.25" customHeight="1">
      <c r="A17" s="7" t="s">
        <v>515</v>
      </c>
      <c r="B17" s="21" t="s">
        <v>513</v>
      </c>
      <c r="C17" s="22" t="s">
        <v>8</v>
      </c>
      <c r="D17" s="23" t="s">
        <v>25</v>
      </c>
      <c r="E17" s="21" t="s">
        <v>25</v>
      </c>
      <c r="F17" s="21">
        <v>31</v>
      </c>
      <c r="G17" s="6"/>
      <c r="H17" s="24"/>
      <c r="I17" s="25" t="s">
        <v>677</v>
      </c>
      <c r="J17" s="26" t="s">
        <v>1044</v>
      </c>
      <c r="K17" s="26" t="s">
        <v>1050</v>
      </c>
      <c r="L17" s="26" t="s">
        <v>1055</v>
      </c>
      <c r="M17" s="26" t="s">
        <v>676</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693</v>
      </c>
      <c r="BZ17" s="170"/>
      <c r="CA17" s="170"/>
      <c r="CB17" s="170"/>
      <c r="CC17" s="170"/>
      <c r="CD17" s="170"/>
      <c r="CE17" s="170"/>
      <c r="CF17" s="170"/>
      <c r="CG17" s="170"/>
      <c r="CH17" s="170"/>
      <c r="CI17" s="170" t="s">
        <v>645</v>
      </c>
      <c r="CJ17" s="170" t="s">
        <v>508</v>
      </c>
      <c r="CK17" s="168" t="s">
        <v>605</v>
      </c>
      <c r="CL17" s="168" t="s">
        <v>606</v>
      </c>
      <c r="CM17" s="168" t="s">
        <v>607</v>
      </c>
      <c r="CN17" s="315" t="s">
        <v>429</v>
      </c>
      <c r="CO17" s="170">
        <v>2880</v>
      </c>
      <c r="CP17" s="228" t="s">
        <v>387</v>
      </c>
      <c r="CQ17" s="228" t="s">
        <v>678</v>
      </c>
      <c r="CR17" s="228"/>
      <c r="CS17" s="168" t="s">
        <v>498</v>
      </c>
      <c r="CT17" s="169"/>
      <c r="CU17" s="169"/>
      <c r="CV17" s="169" t="s">
        <v>483</v>
      </c>
      <c r="CW17" s="169" t="s">
        <v>434</v>
      </c>
      <c r="CX17" s="169" t="s">
        <v>216</v>
      </c>
      <c r="CY17" s="169"/>
      <c r="CZ17" s="169"/>
      <c r="DA17" s="169"/>
      <c r="DB17" s="160" t="s">
        <v>1046</v>
      </c>
      <c r="DC17" s="160" t="s">
        <v>1047</v>
      </c>
      <c r="DD17" s="169"/>
      <c r="DE17" s="169" t="s">
        <v>686</v>
      </c>
      <c r="DF17" s="169" t="s">
        <v>525</v>
      </c>
      <c r="DG17" s="534"/>
      <c r="DH17" s="168" t="s">
        <v>542</v>
      </c>
      <c r="DI17" s="168" t="s">
        <v>543</v>
      </c>
      <c r="DJ17" s="168" t="s">
        <v>544</v>
      </c>
      <c r="DK17" s="168"/>
      <c r="DL17" s="168"/>
      <c r="DM17" s="168"/>
      <c r="DN17" s="168"/>
      <c r="DO17" s="168"/>
      <c r="DP17" s="168"/>
      <c r="DQ17" s="168"/>
      <c r="DR17" s="168"/>
      <c r="DS17" s="168"/>
      <c r="DT17" s="168"/>
      <c r="DU17" s="168" t="s">
        <v>795</v>
      </c>
      <c r="DV17" s="168"/>
      <c r="DW17" s="168"/>
      <c r="DX17" s="168"/>
      <c r="DY17" s="168"/>
      <c r="DZ17" s="168"/>
      <c r="EA17" s="168"/>
      <c r="EB17" s="168"/>
      <c r="EC17" s="168"/>
      <c r="ED17" s="168"/>
      <c r="EE17" s="168"/>
      <c r="EF17" s="168"/>
      <c r="EG17" s="168"/>
      <c r="EH17" s="168"/>
      <c r="EI17" s="168" t="s">
        <v>809</v>
      </c>
      <c r="EJ17" s="168"/>
      <c r="EK17" s="168"/>
      <c r="EL17" s="168"/>
      <c r="EM17" s="168"/>
      <c r="EN17" s="168"/>
      <c r="EO17" s="1322" t="s">
        <v>1048</v>
      </c>
      <c r="EP17" s="1322" t="s">
        <v>1052</v>
      </c>
      <c r="EQ17" s="1322" t="s">
        <v>1057</v>
      </c>
      <c r="ER17" s="1343">
        <v>1000</v>
      </c>
      <c r="ES17" s="1337"/>
      <c r="ET17" s="1523"/>
      <c r="EU17" s="1523"/>
    </row>
    <row r="18" spans="1:151" ht="14.25" customHeight="1">
      <c r="A18" s="7" t="s">
        <v>184</v>
      </c>
      <c r="B18" s="21" t="s">
        <v>513</v>
      </c>
      <c r="C18" s="22" t="s">
        <v>8</v>
      </c>
      <c r="D18" s="23" t="s">
        <v>111</v>
      </c>
      <c r="E18" s="21" t="s">
        <v>111</v>
      </c>
      <c r="F18" s="21" t="s">
        <v>179</v>
      </c>
      <c r="G18" s="6"/>
      <c r="H18" s="24"/>
      <c r="I18" s="25" t="s">
        <v>185</v>
      </c>
      <c r="J18" s="26" t="s">
        <v>1133</v>
      </c>
      <c r="K18" s="26" t="s">
        <v>187</v>
      </c>
      <c r="L18" s="26" t="s">
        <v>1053</v>
      </c>
      <c r="M18" s="26" t="s">
        <v>675</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697</v>
      </c>
      <c r="AT18" s="533" t="s">
        <v>419</v>
      </c>
      <c r="AU18" s="161" t="s">
        <v>420</v>
      </c>
      <c r="AV18" s="533" t="s">
        <v>421</v>
      </c>
      <c r="AW18" s="161" t="s">
        <v>422</v>
      </c>
      <c r="AX18" s="533"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928</v>
      </c>
      <c r="BZ18" s="187" t="s">
        <v>983</v>
      </c>
      <c r="CA18" s="167"/>
      <c r="CB18" s="167"/>
      <c r="CC18" s="167"/>
      <c r="CD18" s="167"/>
      <c r="CE18" s="167"/>
      <c r="CF18" s="167"/>
      <c r="CG18" s="167"/>
      <c r="CH18" s="167"/>
      <c r="CI18" s="167" t="s">
        <v>667</v>
      </c>
      <c r="CJ18" s="167" t="s">
        <v>378</v>
      </c>
      <c r="CK18" s="167" t="s">
        <v>608</v>
      </c>
      <c r="CL18" s="167" t="s">
        <v>609</v>
      </c>
      <c r="CM18" s="167" t="s">
        <v>609</v>
      </c>
      <c r="CN18" s="167">
        <v>1175</v>
      </c>
      <c r="CO18" s="167">
        <v>1800</v>
      </c>
      <c r="CP18" s="315" t="s">
        <v>532</v>
      </c>
      <c r="CQ18" s="167" t="s">
        <v>982</v>
      </c>
      <c r="CR18" s="167"/>
      <c r="CS18" s="167" t="s">
        <v>814</v>
      </c>
      <c r="CT18" s="169"/>
      <c r="CU18" s="169"/>
      <c r="CV18" s="169" t="s">
        <v>399</v>
      </c>
      <c r="CW18" s="169" t="s">
        <v>439</v>
      </c>
      <c r="CX18" s="169" t="s">
        <v>442</v>
      </c>
      <c r="CY18" s="169"/>
      <c r="CZ18" s="169"/>
      <c r="DA18" s="169"/>
      <c r="DB18" s="355" t="s">
        <v>1040</v>
      </c>
      <c r="DC18" s="361"/>
      <c r="DD18" s="169"/>
      <c r="DE18" s="362" t="s">
        <v>685</v>
      </c>
      <c r="DF18" s="362" t="s">
        <v>186</v>
      </c>
      <c r="DG18" s="534"/>
      <c r="DH18" s="167" t="s">
        <v>550</v>
      </c>
      <c r="DI18" s="167" t="s">
        <v>548</v>
      </c>
      <c r="DJ18" s="167" t="s">
        <v>549</v>
      </c>
      <c r="DK18" s="167"/>
      <c r="DL18" s="167"/>
      <c r="DM18" s="168"/>
      <c r="DN18" s="168"/>
      <c r="DO18" s="168"/>
      <c r="DP18" s="168"/>
      <c r="DQ18" s="168"/>
      <c r="DR18" s="168"/>
      <c r="DS18" s="168"/>
      <c r="DT18" s="168"/>
      <c r="DU18" s="168" t="s">
        <v>796</v>
      </c>
      <c r="DV18" s="168"/>
      <c r="DW18" s="168"/>
      <c r="DX18" s="168"/>
      <c r="DY18" s="168"/>
      <c r="DZ18" s="168"/>
      <c r="EA18" s="168"/>
      <c r="EB18" s="168" t="s">
        <v>807</v>
      </c>
      <c r="EC18" s="168" t="s">
        <v>810</v>
      </c>
      <c r="ED18" s="168"/>
      <c r="EE18" s="168">
        <v>1200</v>
      </c>
      <c r="EF18" s="168">
        <v>600</v>
      </c>
      <c r="EG18" s="168"/>
      <c r="EH18" s="168"/>
      <c r="EI18" s="168" t="s">
        <v>812</v>
      </c>
      <c r="EJ18" s="168"/>
      <c r="EK18" s="168"/>
      <c r="EL18" s="168"/>
      <c r="EM18" s="168"/>
      <c r="EN18" s="168"/>
      <c r="EO18" s="355" t="s">
        <v>1040</v>
      </c>
      <c r="EP18" s="355" t="s">
        <v>187</v>
      </c>
      <c r="EQ18" s="355" t="s">
        <v>1053</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452</v>
      </c>
      <c r="K19" s="26" t="s">
        <v>1122</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679</v>
      </c>
      <c r="BZ19" s="170"/>
      <c r="CA19" s="170"/>
      <c r="CB19" s="170"/>
      <c r="CC19" s="170"/>
      <c r="CD19" s="170"/>
      <c r="CE19" s="170"/>
      <c r="CF19" s="170"/>
      <c r="CG19" s="170"/>
      <c r="CH19" s="170"/>
      <c r="CI19" s="170" t="s">
        <v>663</v>
      </c>
      <c r="CJ19" s="170" t="s">
        <v>374</v>
      </c>
      <c r="CK19" s="170" t="s">
        <v>610</v>
      </c>
      <c r="CL19" s="170" t="s">
        <v>611</v>
      </c>
      <c r="CM19" s="170" t="s">
        <v>612</v>
      </c>
      <c r="CN19" s="170">
        <v>1262</v>
      </c>
      <c r="CO19" s="170">
        <v>700</v>
      </c>
      <c r="CP19" s="170">
        <v>1262</v>
      </c>
      <c r="CQ19" s="170" t="s">
        <v>986</v>
      </c>
      <c r="CR19" s="170"/>
      <c r="CS19" s="170"/>
      <c r="CT19" s="169"/>
      <c r="CU19" s="169"/>
      <c r="CV19" s="169" t="s">
        <v>401</v>
      </c>
      <c r="CW19" s="169" t="s">
        <v>435</v>
      </c>
      <c r="CX19" s="169" t="s">
        <v>446</v>
      </c>
      <c r="CY19" s="169" t="s">
        <v>572</v>
      </c>
      <c r="CZ19" s="169" t="s">
        <v>573</v>
      </c>
      <c r="DA19" s="169" t="s">
        <v>574</v>
      </c>
      <c r="DB19" s="160" t="s">
        <v>57</v>
      </c>
      <c r="DC19" s="356"/>
      <c r="DD19" s="169"/>
      <c r="DE19" s="362" t="s">
        <v>310</v>
      </c>
      <c r="DF19" s="362" t="s">
        <v>815</v>
      </c>
      <c r="DG19" s="534" t="s">
        <v>583</v>
      </c>
      <c r="DH19" s="170" t="s">
        <v>554</v>
      </c>
      <c r="DI19" s="170" t="s">
        <v>555</v>
      </c>
      <c r="DJ19" s="170" t="s">
        <v>556</v>
      </c>
      <c r="DK19" s="170"/>
      <c r="DL19" s="170"/>
      <c r="DM19" s="168"/>
      <c r="DN19" s="168"/>
      <c r="DO19" s="168"/>
      <c r="DP19" s="168"/>
      <c r="DQ19" s="168"/>
      <c r="DR19" s="168"/>
      <c r="DS19" s="168"/>
      <c r="DT19" s="168"/>
      <c r="DU19" s="168" t="s">
        <v>797</v>
      </c>
      <c r="DV19" s="168"/>
      <c r="DW19" s="168"/>
      <c r="DX19" s="168"/>
      <c r="DY19" s="168"/>
      <c r="DZ19" s="168"/>
      <c r="EA19" s="168"/>
      <c r="EB19" s="168"/>
      <c r="EC19" s="168"/>
      <c r="ED19" s="168"/>
      <c r="EE19" s="168"/>
      <c r="EF19" s="168"/>
      <c r="EG19" s="168"/>
      <c r="EH19" s="168"/>
      <c r="EI19" s="168"/>
      <c r="EJ19" s="168"/>
      <c r="EK19" s="168"/>
      <c r="EL19" s="168"/>
      <c r="EM19" s="168"/>
      <c r="EN19" s="168"/>
      <c r="EO19" s="1322" t="s">
        <v>1012</v>
      </c>
      <c r="EP19" s="1322" t="s">
        <v>1013</v>
      </c>
      <c r="EQ19" s="1322" t="s">
        <v>1014</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694</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985</v>
      </c>
      <c r="CR20" s="170" t="s">
        <v>458</v>
      </c>
      <c r="CS20" s="170"/>
      <c r="CT20" s="169"/>
      <c r="CU20" s="169"/>
      <c r="CV20" s="169"/>
      <c r="CW20" s="169" t="s">
        <v>436</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937</v>
      </c>
      <c r="J21" s="26" t="s">
        <v>938</v>
      </c>
      <c r="K21" s="26" t="s">
        <v>939</v>
      </c>
      <c r="L21" s="26" t="s">
        <v>940</v>
      </c>
      <c r="M21" s="26" t="s">
        <v>941</v>
      </c>
      <c r="N21" s="26" t="s">
        <v>942</v>
      </c>
      <c r="O21" s="26" t="s">
        <v>943</v>
      </c>
      <c r="P21" s="26" t="s">
        <v>944</v>
      </c>
      <c r="Q21" s="26" t="s">
        <v>945</v>
      </c>
      <c r="R21" s="26" t="s">
        <v>946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949</v>
      </c>
      <c r="AT21" s="27"/>
      <c r="AU21" s="52" t="s">
        <v>947</v>
      </c>
      <c r="AV21" s="27"/>
      <c r="AW21" s="52" t="s">
        <v>948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950</v>
      </c>
      <c r="BW21" s="170" t="s">
        <v>393</v>
      </c>
      <c r="BX21" s="170" t="s">
        <v>394</v>
      </c>
      <c r="BY21" s="186" t="s">
        <v>981</v>
      </c>
      <c r="BZ21" s="186"/>
      <c r="CA21" s="170"/>
      <c r="CB21" s="170"/>
      <c r="CC21" s="170"/>
      <c r="CD21" s="170"/>
      <c r="CE21" s="170"/>
      <c r="CF21" s="170"/>
      <c r="CG21" s="170"/>
      <c r="CH21" s="170"/>
      <c r="CI21" s="170" t="s">
        <v>951</v>
      </c>
      <c r="CJ21" s="170" t="s">
        <v>952</v>
      </c>
      <c r="CK21" s="170" t="s">
        <v>953</v>
      </c>
      <c r="CL21" s="170" t="s">
        <v>954</v>
      </c>
      <c r="CM21" s="170" t="s">
        <v>955</v>
      </c>
      <c r="CN21" s="186" t="s">
        <v>409</v>
      </c>
      <c r="CO21" s="170">
        <v>450</v>
      </c>
      <c r="CP21" s="186" t="s">
        <v>409</v>
      </c>
      <c r="CQ21" s="186" t="s">
        <v>680</v>
      </c>
      <c r="CR21" s="186"/>
      <c r="CS21" s="170"/>
      <c r="CT21" s="169"/>
      <c r="CU21" s="169"/>
      <c r="CV21" s="169" t="s">
        <v>403</v>
      </c>
      <c r="CW21" s="169" t="s">
        <v>437</v>
      </c>
      <c r="CX21" s="169" t="s">
        <v>445</v>
      </c>
      <c r="CY21" s="169"/>
      <c r="CZ21" s="169"/>
      <c r="DA21" s="169"/>
      <c r="DB21" s="160" t="s">
        <v>949</v>
      </c>
      <c r="DC21" s="363" t="s">
        <v>207</v>
      </c>
      <c r="DD21" s="169"/>
      <c r="DE21" s="362" t="s">
        <v>956</v>
      </c>
      <c r="DF21" s="362" t="s">
        <v>980</v>
      </c>
      <c r="DG21" s="534"/>
      <c r="DH21" s="170" t="s">
        <v>557</v>
      </c>
      <c r="DI21" s="170" t="s">
        <v>558</v>
      </c>
      <c r="DJ21" s="170" t="s">
        <v>559</v>
      </c>
      <c r="DK21" s="170"/>
      <c r="DL21" s="170"/>
      <c r="DM21" s="168"/>
      <c r="DN21" s="168"/>
      <c r="DO21" s="168"/>
      <c r="DP21" s="168"/>
      <c r="DQ21" s="168"/>
      <c r="DR21" s="168"/>
      <c r="DS21" s="168"/>
      <c r="DT21" s="168"/>
      <c r="DU21" s="168" t="s">
        <v>799</v>
      </c>
      <c r="DV21" s="168"/>
      <c r="DW21" s="168"/>
      <c r="DX21" s="168"/>
      <c r="DY21" s="168"/>
      <c r="DZ21" s="168"/>
      <c r="EA21" s="168"/>
      <c r="EB21" s="168"/>
      <c r="EC21" s="168"/>
      <c r="ED21" s="168" t="s">
        <v>68</v>
      </c>
      <c r="EE21" s="228"/>
      <c r="EF21" s="168">
        <v>600</v>
      </c>
      <c r="EG21" s="168">
        <v>400</v>
      </c>
      <c r="EH21" s="168">
        <v>450</v>
      </c>
      <c r="EI21" s="168"/>
      <c r="EJ21" s="168" t="s">
        <v>813</v>
      </c>
      <c r="EK21" s="168"/>
      <c r="EL21" s="168"/>
      <c r="EM21" s="168"/>
      <c r="EN21" s="168"/>
      <c r="EO21" s="377" t="s">
        <v>1024</v>
      </c>
      <c r="EP21" s="377" t="s">
        <v>1025</v>
      </c>
      <c r="EQ21" s="377" t="s">
        <v>1026</v>
      </c>
      <c r="ER21" s="1344" t="s">
        <v>1007</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622</v>
      </c>
      <c r="O22" s="26" t="s">
        <v>295</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397</v>
      </c>
      <c r="BZ22" s="170"/>
      <c r="CA22" s="170"/>
      <c r="CB22" s="170"/>
      <c r="CC22" s="170"/>
      <c r="CD22" s="170"/>
      <c r="CE22" s="170"/>
      <c r="CF22" s="170"/>
      <c r="CG22" s="170"/>
      <c r="CH22" s="170"/>
      <c r="CI22" s="170"/>
      <c r="CJ22" s="170"/>
      <c r="CK22" s="170"/>
      <c r="CL22" s="170"/>
      <c r="CM22" s="170"/>
      <c r="CN22" s="170">
        <v>1292</v>
      </c>
      <c r="CO22" s="170">
        <v>2655</v>
      </c>
      <c r="CP22" s="170">
        <v>1292</v>
      </c>
      <c r="CQ22" s="170" t="s">
        <v>875</v>
      </c>
      <c r="CR22" s="170"/>
      <c r="CS22" s="170"/>
      <c r="CT22" s="169"/>
      <c r="CU22" s="169"/>
      <c r="CV22" s="169"/>
      <c r="CW22" s="169"/>
      <c r="CX22" s="169"/>
      <c r="CY22" s="169"/>
      <c r="CZ22" s="169"/>
      <c r="DA22" s="169"/>
      <c r="DB22" s="160" t="s">
        <v>208</v>
      </c>
      <c r="DC22" s="356"/>
      <c r="DD22" s="169"/>
      <c r="DE22" s="362" t="s">
        <v>311</v>
      </c>
      <c r="DF22" s="362" t="s">
        <v>311</v>
      </c>
      <c r="DG22" s="534"/>
      <c r="DH22" s="170"/>
      <c r="DI22" s="170"/>
      <c r="DJ22" s="170"/>
      <c r="DK22" s="170"/>
      <c r="DL22" s="170"/>
      <c r="DM22" s="168"/>
      <c r="DN22" s="168"/>
      <c r="DO22" s="168"/>
      <c r="DP22" s="168"/>
      <c r="DQ22" s="168"/>
      <c r="DR22" s="168"/>
      <c r="DS22" s="168"/>
      <c r="DT22" s="168"/>
      <c r="DU22" s="168" t="s">
        <v>799</v>
      </c>
      <c r="DV22" s="168"/>
      <c r="DW22" s="168"/>
      <c r="DX22" s="168"/>
      <c r="DY22" s="168"/>
      <c r="DZ22" s="168"/>
      <c r="EA22" s="168"/>
      <c r="EB22" s="168"/>
      <c r="EC22" s="168"/>
      <c r="ED22" s="168"/>
      <c r="EE22" s="168"/>
      <c r="EF22" s="168"/>
      <c r="EG22" s="168"/>
      <c r="EH22" s="168"/>
      <c r="EI22" s="168"/>
      <c r="EJ22" s="794" t="s">
        <v>882</v>
      </c>
      <c r="EK22" s="168"/>
      <c r="EL22" s="168"/>
      <c r="EM22" s="168"/>
      <c r="EN22" s="168"/>
      <c r="EO22" s="160" t="s">
        <v>1015</v>
      </c>
      <c r="EP22" s="160" t="s">
        <v>1016</v>
      </c>
      <c r="EQ22" s="160" t="s">
        <v>1017</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202</v>
      </c>
      <c r="K25" s="26" t="s">
        <v>304</v>
      </c>
      <c r="L25" s="26" t="s">
        <v>78</v>
      </c>
      <c r="M25" s="26" t="s">
        <v>80</v>
      </c>
      <c r="N25" s="26" t="s">
        <v>698</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455</v>
      </c>
      <c r="BY25" s="170" t="s">
        <v>691</v>
      </c>
      <c r="BZ25" s="170"/>
      <c r="CA25" s="170"/>
      <c r="CB25" s="170"/>
      <c r="CC25" s="170"/>
      <c r="CD25" s="170"/>
      <c r="CE25" s="170"/>
      <c r="CF25" s="170"/>
      <c r="CG25" s="170"/>
      <c r="CH25" s="170"/>
      <c r="CI25" s="170" t="s">
        <v>665</v>
      </c>
      <c r="CJ25" s="170" t="s">
        <v>377</v>
      </c>
      <c r="CK25" s="170" t="s">
        <v>613</v>
      </c>
      <c r="CL25" s="170" t="s">
        <v>614</v>
      </c>
      <c r="CM25" s="170" t="s">
        <v>615</v>
      </c>
      <c r="CN25" s="170">
        <v>1262</v>
      </c>
      <c r="CO25" s="170">
        <v>600</v>
      </c>
      <c r="CP25" s="170">
        <v>1262</v>
      </c>
      <c r="CQ25" s="170" t="s">
        <v>692</v>
      </c>
      <c r="CR25" s="170"/>
      <c r="CS25" s="170"/>
      <c r="CT25" s="169"/>
      <c r="CU25" s="169"/>
      <c r="CV25" s="169" t="s">
        <v>404</v>
      </c>
      <c r="CW25" s="169" t="s">
        <v>438</v>
      </c>
      <c r="CX25" s="169" t="s">
        <v>444</v>
      </c>
      <c r="CY25" s="169" t="s">
        <v>575</v>
      </c>
      <c r="CZ25" s="169" t="s">
        <v>576</v>
      </c>
      <c r="DA25" s="169" t="s">
        <v>577</v>
      </c>
      <c r="DB25" s="160" t="s">
        <v>77</v>
      </c>
      <c r="DC25" s="356"/>
      <c r="DD25" s="169"/>
      <c r="DE25" s="364" t="s">
        <v>312</v>
      </c>
      <c r="DF25" s="350" t="s">
        <v>699</v>
      </c>
      <c r="DG25" s="534" t="s">
        <v>584</v>
      </c>
      <c r="DH25" s="170" t="s">
        <v>560</v>
      </c>
      <c r="DI25" s="170" t="s">
        <v>561</v>
      </c>
      <c r="DJ25" s="170" t="s">
        <v>562</v>
      </c>
      <c r="DK25" s="170"/>
      <c r="DL25" s="170"/>
      <c r="DM25" s="170" t="s">
        <v>730</v>
      </c>
      <c r="DN25" s="170" t="s">
        <v>731</v>
      </c>
      <c r="DO25" s="170" t="s">
        <v>732</v>
      </c>
      <c r="DP25" s="170"/>
      <c r="DQ25" s="170" t="s">
        <v>733</v>
      </c>
      <c r="DR25" s="170" t="s">
        <v>734</v>
      </c>
      <c r="DS25" s="170"/>
      <c r="DT25" s="170" t="s">
        <v>735</v>
      </c>
      <c r="DU25" s="170" t="s">
        <v>736</v>
      </c>
      <c r="DV25" s="170" t="s">
        <v>737</v>
      </c>
      <c r="DW25" s="170" t="s">
        <v>738</v>
      </c>
      <c r="DX25" s="170" t="s">
        <v>739</v>
      </c>
      <c r="DY25" s="170" t="s">
        <v>740</v>
      </c>
      <c r="DZ25" s="170" t="s">
        <v>741</v>
      </c>
      <c r="EA25" s="170" t="s">
        <v>742</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958</v>
      </c>
      <c r="J28" s="26" t="s">
        <v>959</v>
      </c>
      <c r="K28" s="26" t="s">
        <v>960</v>
      </c>
      <c r="L28" s="26" t="s">
        <v>961</v>
      </c>
      <c r="M28" s="26" t="s">
        <v>962</v>
      </c>
      <c r="N28" s="26" t="s">
        <v>974</v>
      </c>
      <c r="O28" s="26" t="s">
        <v>963</v>
      </c>
      <c r="P28" s="26" t="s">
        <v>964</v>
      </c>
      <c r="Q28" s="26" t="s">
        <v>965</v>
      </c>
      <c r="R28" s="26" t="s">
        <v>966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975</v>
      </c>
      <c r="AT28" s="27"/>
      <c r="AU28" s="52" t="s">
        <v>976</v>
      </c>
      <c r="AV28" s="27"/>
      <c r="AW28" s="52" t="s">
        <v>977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967</v>
      </c>
      <c r="BW28" s="170" t="s">
        <v>957</v>
      </c>
      <c r="BX28" s="170" t="s">
        <v>968</v>
      </c>
      <c r="BY28" s="186" t="s">
        <v>979</v>
      </c>
      <c r="BZ28" s="186"/>
      <c r="CA28" s="170" t="s">
        <v>365</v>
      </c>
      <c r="CB28" s="170" t="s">
        <v>366</v>
      </c>
      <c r="CC28" s="170" t="s">
        <v>367</v>
      </c>
      <c r="CD28" s="170" t="s">
        <v>368</v>
      </c>
      <c r="CE28" s="170"/>
      <c r="CF28" s="170"/>
      <c r="CG28" s="170"/>
      <c r="CH28" s="170"/>
      <c r="CI28" s="170" t="s">
        <v>969</v>
      </c>
      <c r="CJ28" s="170" t="s">
        <v>970</v>
      </c>
      <c r="CK28" s="170" t="s">
        <v>616</v>
      </c>
      <c r="CL28" s="170" t="s">
        <v>617</v>
      </c>
      <c r="CM28" s="170" t="s">
        <v>618</v>
      </c>
      <c r="CN28" s="186" t="s">
        <v>408</v>
      </c>
      <c r="CO28" s="170">
        <v>850</v>
      </c>
      <c r="CP28" s="186" t="s">
        <v>408</v>
      </c>
      <c r="CQ28" s="170" t="s">
        <v>696</v>
      </c>
      <c r="CR28" s="170"/>
      <c r="CS28" s="170"/>
      <c r="CT28" s="169"/>
      <c r="CU28" s="169"/>
      <c r="CV28" s="169" t="s">
        <v>580</v>
      </c>
      <c r="CW28" s="169" t="s">
        <v>971</v>
      </c>
      <c r="CX28" s="169" t="s">
        <v>447</v>
      </c>
      <c r="CY28" s="169"/>
      <c r="CZ28" s="169"/>
      <c r="DA28" s="169"/>
      <c r="DB28" s="160" t="s">
        <v>975</v>
      </c>
      <c r="DC28" s="356"/>
      <c r="DD28" s="169"/>
      <c r="DE28" s="364" t="s">
        <v>972</v>
      </c>
      <c r="DF28" s="350" t="s">
        <v>978</v>
      </c>
      <c r="DG28" s="169"/>
      <c r="DH28" s="170" t="s">
        <v>563</v>
      </c>
      <c r="DI28" s="170" t="s">
        <v>564</v>
      </c>
      <c r="DJ28" s="170" t="s">
        <v>565</v>
      </c>
      <c r="DK28" s="170"/>
      <c r="DL28" s="170"/>
      <c r="DM28" s="658" t="s">
        <v>773</v>
      </c>
      <c r="DN28" s="170"/>
      <c r="DO28" s="170"/>
      <c r="DP28" s="170"/>
      <c r="DQ28" s="170"/>
      <c r="DR28" s="170"/>
      <c r="DS28" s="170"/>
      <c r="DT28" s="170"/>
      <c r="DU28" s="170" t="s">
        <v>772</v>
      </c>
      <c r="DV28" s="170"/>
      <c r="DW28" s="170"/>
      <c r="DX28" s="170"/>
      <c r="DY28" s="170"/>
      <c r="DZ28" s="170"/>
      <c r="EA28" s="170"/>
      <c r="EB28" s="170"/>
      <c r="EC28" s="170"/>
      <c r="ED28" s="170" t="s">
        <v>973</v>
      </c>
      <c r="EE28" s="170"/>
      <c r="EF28" s="170"/>
      <c r="EG28" s="170"/>
      <c r="EH28" s="170"/>
      <c r="EI28" s="170"/>
      <c r="EJ28" s="170"/>
      <c r="EK28" s="170"/>
      <c r="EL28" s="170"/>
      <c r="EM28" s="170"/>
      <c r="EN28" s="170"/>
      <c r="EO28" s="1324" t="s">
        <v>1003</v>
      </c>
      <c r="EP28" s="1324" t="s">
        <v>1004</v>
      </c>
      <c r="EQ28" s="1324" t="s">
        <v>1005</v>
      </c>
      <c r="ER28" s="1344" t="s">
        <v>1006</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695</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803</v>
      </c>
      <c r="BZ29" s="170"/>
      <c r="CA29" s="170"/>
      <c r="CB29" s="170"/>
      <c r="CC29" s="170"/>
      <c r="CD29" s="170"/>
      <c r="CE29" s="170"/>
      <c r="CF29" s="170"/>
      <c r="CG29" s="170"/>
      <c r="CH29" s="170"/>
      <c r="CI29" s="170"/>
      <c r="CJ29" s="170"/>
      <c r="CK29" s="170"/>
      <c r="CL29" s="170"/>
      <c r="CM29" s="170"/>
      <c r="CN29" s="170">
        <v>1292</v>
      </c>
      <c r="CO29" s="170">
        <v>850</v>
      </c>
      <c r="CP29" s="170">
        <v>1292</v>
      </c>
      <c r="CQ29" s="170" t="s">
        <v>804</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772</v>
      </c>
      <c r="DV29" s="170"/>
      <c r="DW29" s="170"/>
      <c r="DX29" s="170"/>
      <c r="DY29" s="170"/>
      <c r="DZ29" s="170"/>
      <c r="EA29" s="170"/>
      <c r="EB29" s="170"/>
      <c r="EC29" s="170"/>
      <c r="ED29" s="170"/>
      <c r="EE29" s="170"/>
      <c r="EF29" s="170"/>
      <c r="EG29" s="170"/>
      <c r="EH29" s="170"/>
      <c r="EI29" s="170"/>
      <c r="EJ29" s="170"/>
      <c r="EK29" s="170"/>
      <c r="EL29" s="170"/>
      <c r="EM29" s="170"/>
      <c r="EN29" s="170"/>
      <c r="EO29" s="1322" t="s">
        <v>1027</v>
      </c>
      <c r="EP29" s="1322" t="s">
        <v>1028</v>
      </c>
      <c r="EQ29" s="1322" t="s">
        <v>1029</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9Ksjq0+qsOkZg9IjlthSRZW892w6581I0td3U95NMAmEYKRVDIES7u4vCRMC6KeLI9fp9P0j9tQ4qP6WmEZ9Jw==" saltValue="JLxxVzpXpft3XwfFnZKwu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SABADELL</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459</v>
      </c>
      <c r="B5" s="297"/>
      <c r="C5" s="1883"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862</v>
      </c>
      <c r="L5" s="1847" t="s">
        <v>745</v>
      </c>
      <c r="M5" s="1847" t="s">
        <v>700</v>
      </c>
      <c r="N5" s="1847" t="s">
        <v>863</v>
      </c>
      <c r="O5" s="1877" t="s">
        <v>774</v>
      </c>
      <c r="P5" s="1847" t="s">
        <v>883</v>
      </c>
      <c r="Q5" s="1847" t="s">
        <v>877</v>
      </c>
      <c r="R5" s="1847" t="s">
        <v>225</v>
      </c>
      <c r="S5" s="1880" t="s">
        <v>873</v>
      </c>
      <c r="T5" s="1880" t="s">
        <v>876</v>
      </c>
      <c r="U5" s="1847" t="s">
        <v>777</v>
      </c>
      <c r="V5" s="1880" t="s">
        <v>746</v>
      </c>
      <c r="W5" s="1847" t="s">
        <v>1036</v>
      </c>
      <c r="X5" s="1847" t="s">
        <v>1037</v>
      </c>
      <c r="Y5" s="1859" t="s">
        <v>864</v>
      </c>
      <c r="Z5" s="1850" t="s">
        <v>802</v>
      </c>
      <c r="AA5" s="1853" t="s">
        <v>747</v>
      </c>
      <c r="AB5" s="1850" t="s">
        <v>748</v>
      </c>
      <c r="AC5" s="1850" t="s">
        <v>749</v>
      </c>
      <c r="AD5" s="1856" t="s">
        <v>865</v>
      </c>
      <c r="AE5" s="1856" t="s">
        <v>1064</v>
      </c>
      <c r="AF5" s="1847" t="s">
        <v>878</v>
      </c>
      <c r="AG5" s="1847" t="s">
        <v>701</v>
      </c>
      <c r="AH5" s="1847" t="s">
        <v>866</v>
      </c>
      <c r="AI5" s="1847" t="s">
        <v>236</v>
      </c>
      <c r="AJ5" s="1847" t="s">
        <v>933</v>
      </c>
      <c r="AK5" s="1847" t="s">
        <v>702</v>
      </c>
      <c r="AL5" s="1847" t="s">
        <v>703</v>
      </c>
      <c r="AM5" s="1847" t="s">
        <v>884</v>
      </c>
      <c r="AN5" s="1847" t="s">
        <v>704</v>
      </c>
      <c r="AO5" s="1847" t="s">
        <v>705</v>
      </c>
      <c r="AP5" s="1847" t="s">
        <v>706</v>
      </c>
      <c r="AQ5" s="1847" t="s">
        <v>707</v>
      </c>
      <c r="AR5" s="1847" t="s">
        <v>867</v>
      </c>
      <c r="AS5" s="1847" t="s">
        <v>239</v>
      </c>
      <c r="AT5" s="1862" t="s">
        <v>237</v>
      </c>
      <c r="AU5" s="1847" t="s">
        <v>879</v>
      </c>
      <c r="AV5" s="1865" t="s">
        <v>880</v>
      </c>
      <c r="AW5" s="1868" t="s">
        <v>709</v>
      </c>
      <c r="AX5" s="1847" t="s">
        <v>710</v>
      </c>
      <c r="AY5" s="1847" t="s">
        <v>800</v>
      </c>
      <c r="AZ5" s="1871" t="s">
        <v>801</v>
      </c>
      <c r="BA5" s="1847" t="s">
        <v>751</v>
      </c>
      <c r="BB5" s="1865" t="s">
        <v>752</v>
      </c>
      <c r="BC5" s="1868" t="s">
        <v>240</v>
      </c>
      <c r="BD5" s="1847" t="s">
        <v>753</v>
      </c>
      <c r="BE5" s="1847" t="s">
        <v>316</v>
      </c>
      <c r="BF5" s="1847" t="s">
        <v>317</v>
      </c>
      <c r="BG5" s="1847" t="s">
        <v>318</v>
      </c>
      <c r="BH5" s="1847" t="s">
        <v>754</v>
      </c>
      <c r="BI5" s="1847" t="s">
        <v>319</v>
      </c>
      <c r="BJ5" s="1847" t="s">
        <v>755</v>
      </c>
      <c r="BK5" s="1847" t="s">
        <v>770</v>
      </c>
      <c r="BL5" s="1847" t="s">
        <v>756</v>
      </c>
      <c r="BM5" s="1847" t="s">
        <v>757</v>
      </c>
      <c r="BN5" s="1847" t="s">
        <v>785</v>
      </c>
      <c r="BO5" s="1847" t="s">
        <v>778</v>
      </c>
      <c r="BP5" s="1847" t="s">
        <v>430</v>
      </c>
      <c r="BQ5" s="1847" t="s">
        <v>779</v>
      </c>
      <c r="BR5" s="1847" t="s">
        <v>758</v>
      </c>
      <c r="BS5" s="1847" t="s">
        <v>708</v>
      </c>
      <c r="BT5" s="1874" t="s">
        <v>1038</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8</v>
      </c>
      <c r="B9" s="749" t="s">
        <v>315</v>
      </c>
      <c r="C9" s="770" t="str">
        <f>Datos!A9</f>
        <v xml:space="preserve">Jdos. 1ª Instancia   </v>
      </c>
      <c r="D9" s="597"/>
      <c r="E9" s="553">
        <f>IF(ISNUMBER(Datos!AQ9),Datos!AQ9," - ")</f>
        <v>8</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661</v>
      </c>
      <c r="O9" s="553"/>
      <c r="P9" s="553"/>
      <c r="Q9" s="551">
        <f>IF(ISNUMBER(Datos!P9),Datos!P9,0)</f>
        <v>2712</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3192</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301</v>
      </c>
      <c r="AI9" s="553" t="str">
        <f>IF(ISNUMBER(Datos!CD9),Datos!CD9,"-")</f>
        <v>-</v>
      </c>
      <c r="AJ9" s="553" t="str">
        <f>IF(ISNUMBER(Datos!EN9),Datos!EN9," - ")</f>
        <v xml:space="preserve"> - </v>
      </c>
      <c r="AK9" s="553"/>
      <c r="AL9" s="554"/>
      <c r="AM9" s="771">
        <f>IF(ISNUMBER(Datos!R9),Datos!R9," - ")</f>
        <v>14921</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2407</v>
      </c>
      <c r="BD9" s="697">
        <f>IF(ISNUMBER(Datos!N9),Datos!N9," - ")</f>
        <v>5034</v>
      </c>
      <c r="BE9" s="697" t="str">
        <f>IF(ISNUMBER(Datos!BW9),Datos!BW9," - ")</f>
        <v xml:space="preserve"> - </v>
      </c>
      <c r="BF9" s="767" t="str">
        <f>IF(ISNUMBER(Datos!BX9),Datos!BX9," - ")</f>
        <v xml:space="preserve"> - </v>
      </c>
      <c r="BG9" s="768">
        <f>IF(ISNUMBER(IF(J_V="SI",Datos!K9/Datos!J9,(Datos!K9+Datos!AA9)/(Datos!J9+Datos!Z9))),IF(J_V="SI",Datos!K9/Datos!J9,(Datos!K9+Datos!AA9)/(Datos!J9+Datos!Z9))," - ")</f>
        <v>0.92172067586319484</v>
      </c>
      <c r="BH9" s="769">
        <f>IF(ISNUMBER(((IF(J_V="SI",Datos!L9/Datos!K9,(Datos!L9+Datos!AB9)/(Datos!K9+Datos!AA9)))*11)/factor_trimestre),((IF(J_V="SI",Datos!L9/Datos!K9,(Datos!L9+Datos!AB9)/(Datos!K9+Datos!AA9)))*11)/factor_trimestre," - ")</f>
        <v>12.862557562876372</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-3.1166807350172066E-2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315</v>
      </c>
      <c r="C10" s="751" t="str">
        <f>Datos!A10</f>
        <v>Jdos. Violencia contra la mujer</v>
      </c>
      <c r="D10" s="605"/>
      <c r="E10" s="553">
        <f>IF(ISNUMBER(Datos!AQ10),Datos!AQ10," - ")</f>
        <v>1</v>
      </c>
      <c r="F10" s="556">
        <f>IF(ISNUMBER(Datos!L10+Datos!K10-Datos!J10),Datos!L10+Datos!K10-Datos!J10," - ")</f>
        <v>112</v>
      </c>
      <c r="G10" s="547">
        <f>IF(ISNUMBER(Datos!I10),Datos!I10," - ")</f>
        <v>112</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195</v>
      </c>
      <c r="AC10" s="551">
        <f>IF(ISNUMBER(Datos!Q10),Datos!Q10," - ")</f>
        <v>63</v>
      </c>
      <c r="AD10" s="553"/>
      <c r="AE10" s="567"/>
      <c r="AF10" s="555">
        <f>IF(ISNUMBER(Datos!L10),Datos!L10,"-")</f>
        <v>119</v>
      </c>
      <c r="AG10" s="553"/>
      <c r="AH10" s="553"/>
      <c r="AI10" s="553"/>
      <c r="AJ10" s="553"/>
      <c r="AK10" s="553"/>
      <c r="AL10" s="554"/>
      <c r="AM10" s="771">
        <f>IF(ISNUMBER(Datos!R10),Datos!R10," - ")</f>
        <v>127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70</v>
      </c>
      <c r="BD10" s="697">
        <f>IF(ISNUMBER(Datos!N10),Datos!N10," - ")</f>
        <v>60</v>
      </c>
      <c r="BE10" s="697" t="str">
        <f>IF(ISNUMBER(Datos!BW10),Datos!BW10," - ")</f>
        <v xml:space="preserve"> - </v>
      </c>
      <c r="BF10" s="767" t="str">
        <f>IF(ISNUMBER(Datos!BX10),Datos!BX10," - ")</f>
        <v xml:space="preserve"> - </v>
      </c>
      <c r="BG10" s="768">
        <f>IF(ISNUMBER(Datos!K10/Datos!J10),Datos!K10/Datos!J10," - ")</f>
        <v>0.96534653465346532</v>
      </c>
      <c r="BH10" s="769">
        <f>IF(ISNUMBER(((Datos!L10/Datos!K10)*11)/factor_trimestre),((Datos!L10/Datos!K10)*11)/factor_trimestre," - ")</f>
        <v>6.7128205128205138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-0.13013698630136986</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2</v>
      </c>
      <c r="B11" s="750" t="s">
        <v>315</v>
      </c>
      <c r="C11" s="751" t="str">
        <f>Datos!A11</f>
        <v xml:space="preserve">Jdos. Familia                                   </v>
      </c>
      <c r="D11" s="605"/>
      <c r="E11" s="553">
        <f>IF(ISNUMBER(Datos!AQ11),Datos!AQ11," - ")</f>
        <v>2</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791</v>
      </c>
      <c r="O11" s="553"/>
      <c r="P11" s="553"/>
      <c r="Q11" s="551">
        <f>IF(ISNUMBER(Datos!P11),Datos!P11,0)</f>
        <v>235</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510</v>
      </c>
      <c r="AD11" s="553"/>
      <c r="AE11" s="567"/>
      <c r="AF11" s="555" t="str">
        <f>IF(ISNUMBER(IF(J_V="SI",Datos!L11,Datos!L11+Datos!AB11)-IF(Monitorios="SI",Datos!CD11,0)),
                          IF(J_V="SI",Datos!L11,Datos!L11+Datos!AB11)-IF(Monitorios="SI",Datos!CD11,0),
                          " - ")</f>
        <v xml:space="preserve"> - </v>
      </c>
      <c r="AG11" s="553"/>
      <c r="AH11" s="553">
        <f>IF(ISNUMBER(Datos!AB11),Datos!AB11,"-")</f>
        <v>71</v>
      </c>
      <c r="AI11" s="553"/>
      <c r="AJ11" s="553"/>
      <c r="AK11" s="553"/>
      <c r="AL11" s="554"/>
      <c r="AM11" s="771">
        <f>IF(ISNUMBER(Datos!R11),Datos!R11," - ")</f>
        <v>983</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1024</v>
      </c>
      <c r="BD11" s="697">
        <f>IF(ISNUMBER(Datos!N11),Datos!N11," - ")</f>
        <v>1205</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1.0378378378378379</v>
      </c>
      <c r="BH11" s="769">
        <f>IF(ISNUMBER(((IF(J_V="SI",Datos!L11/Datos!K11,(Datos!L11+Datos!AB11)/(Datos!K11+Datos!AA11)))*11)/factor_trimestre),((IF(J_V="SI",Datos!L11/Datos!K11,(Datos!L11+Datos!AB11)/(Datos!K11+Datos!AA11)))*11)/factor_trimestre," - ")</f>
        <v>4.4763888888888888</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-0.21860095389507153</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315</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315</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11</v>
      </c>
      <c r="F14" s="1200">
        <f t="shared" si="1"/>
        <v>112</v>
      </c>
      <c r="G14" s="1200">
        <f t="shared" si="1"/>
        <v>112</v>
      </c>
      <c r="H14" s="1201">
        <f t="shared" si="1"/>
        <v>0</v>
      </c>
      <c r="I14" s="1200">
        <f t="shared" si="1"/>
        <v>0</v>
      </c>
      <c r="J14" s="1167">
        <f t="shared" si="1"/>
        <v>0</v>
      </c>
      <c r="K14" s="1167">
        <f t="shared" si="1"/>
        <v>0</v>
      </c>
      <c r="L14" s="1201">
        <f t="shared" si="1"/>
        <v>0</v>
      </c>
      <c r="M14" s="1201">
        <f t="shared" si="1"/>
        <v>0</v>
      </c>
      <c r="N14" s="1201">
        <f t="shared" si="1"/>
        <v>1452</v>
      </c>
      <c r="O14" s="1202">
        <f t="shared" si="1"/>
        <v>0</v>
      </c>
      <c r="P14" s="1202">
        <f t="shared" si="1"/>
        <v>0</v>
      </c>
      <c r="Q14" s="1201">
        <f t="shared" si="1"/>
        <v>2991</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195</v>
      </c>
      <c r="AC14" s="1201">
        <f t="shared" si="2"/>
        <v>3765</v>
      </c>
      <c r="AD14" s="1201">
        <f t="shared" si="2"/>
        <v>0</v>
      </c>
      <c r="AE14" s="1201">
        <f t="shared" si="2"/>
        <v>0</v>
      </c>
      <c r="AF14" s="1201">
        <f t="shared" si="2"/>
        <v>119</v>
      </c>
      <c r="AG14" s="1201">
        <f t="shared" si="2"/>
        <v>0</v>
      </c>
      <c r="AH14" s="1201">
        <f t="shared" si="2"/>
        <v>372</v>
      </c>
      <c r="AI14" s="1201">
        <f t="shared" si="2"/>
        <v>0</v>
      </c>
      <c r="AJ14" s="1201">
        <f t="shared" si="2"/>
        <v>0</v>
      </c>
      <c r="AK14" s="1201">
        <f t="shared" si="2"/>
        <v>0</v>
      </c>
      <c r="AL14" s="1201">
        <f t="shared" si="2"/>
        <v>0</v>
      </c>
      <c r="AM14" s="1201">
        <f t="shared" si="2"/>
        <v>16031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3501</v>
      </c>
      <c r="BD14" s="1201">
        <f t="shared" si="2"/>
        <v>6299</v>
      </c>
      <c r="BE14" s="1201">
        <f t="shared" si="2"/>
        <v>0</v>
      </c>
      <c r="BF14" s="1201">
        <f t="shared" si="2"/>
        <v>0</v>
      </c>
      <c r="BG14" s="1201">
        <f>IF(ISNUMBER(Datos!K14/Datos!J14),Datos!K14/Datos!J14," - ")</f>
        <v>0.93808072009291521</v>
      </c>
      <c r="BH14" s="1205">
        <f>IF(ISNUMBER(((Datos!L14/Datos!K14)*11)/factor_trimestre),((Datos!L14/Datos!K14)*11)/factor_trimestre," - ")</f>
        <v>12.021434651396733</v>
      </c>
      <c r="BI14" s="1201">
        <f>IF(ISNUMBER('Resol  Asuntos'!D14/NºAsuntos!G14),'Resol  Asuntos'!D14/NºAsuntos!G14," - ")</f>
        <v>0.24368344121946126</v>
      </c>
      <c r="BJ14" s="1201" t="str">
        <f>IF(ISNUMBER(Datos!CI14/Datos!CJ14),Datos!CI14/Datos!CJ14," - ")</f>
        <v xml:space="preserve"> - </v>
      </c>
      <c r="BK14" s="1201">
        <f>SUBTOTAL(9,BK8:BK13)</f>
        <v>0</v>
      </c>
      <c r="BL14" s="1201">
        <f>IF(ISNUMBER((I14-AB14+L14)/(F14)),(I14-AB14+L14)/(F14)," - ")</f>
        <v>-1.7410714285714286</v>
      </c>
      <c r="BM14" s="1206">
        <f>SUBTOTAL(9,BM9:BM13)</f>
        <v>-0.37990474754661346</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5</v>
      </c>
      <c r="B16" s="741" t="s">
        <v>505</v>
      </c>
      <c r="C16" s="754" t="str">
        <f>Datos!A16</f>
        <v xml:space="preserve">Jdos. Instrucción                               </v>
      </c>
      <c r="D16" s="755"/>
      <c r="E16" s="746">
        <f>IF(ISNUMBER(Datos!AQ16),Datos!AQ16," - ")</f>
        <v>5</v>
      </c>
      <c r="F16" s="744">
        <f>IF(ISNUMBER(AF16+AB16-Datos!J16-L16),AF16+AB16-Datos!J16-L16," - ")</f>
        <v>4274</v>
      </c>
      <c r="G16" s="747">
        <f>IF(ISNUMBER(IF(D_I="SI",Datos!I16,Datos!I16+Datos!AC16)),IF(D_I="SI",Datos!I16,Datos!I16+Datos!AC16)," - ")</f>
        <v>4183</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302</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11247</v>
      </c>
      <c r="AC16" s="240">
        <f>IF(ISNUMBER(Datos!Q16),Datos!Q16," - ")</f>
        <v>234</v>
      </c>
      <c r="AD16" s="374"/>
      <c r="AE16" s="566"/>
      <c r="AF16" s="745">
        <f>IF(ISNUMBER(IF(D_I="SI",Datos!L16,Datos!L16+Datos!AF16)),IF(D_I="SI",Datos!L16,Datos!L16+Datos!AF16)," - ")</f>
        <v>4688</v>
      </c>
      <c r="AG16" s="374"/>
      <c r="AH16" s="374"/>
      <c r="AI16" s="374"/>
      <c r="AJ16" s="553"/>
      <c r="AK16" s="374"/>
      <c r="AL16" s="549"/>
      <c r="AM16" s="375">
        <f>IF(ISNUMBER(Datos!R16),Datos!R16," - ")</f>
        <v>447</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1487</v>
      </c>
      <c r="BD16" s="243">
        <f>IF(ISNUMBER(Datos!N16),Datos!N16," - ")</f>
        <v>7010</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0.96449704142011838</v>
      </c>
      <c r="BH16" s="769">
        <f>IF(ISNUMBER(((IF(D_I="SI",Datos!L16/Datos!K16,(Datos!L16+Datos!AF16)/(Datos!K16+Datos!AE16)))*11)/factor_trimestre),((IF(D_I="SI",Datos!L16/Datos!K16,(Datos!L16+Datos!AF16)/(Datos!K16+Datos!AE16)))*11)/factor_trimestre," - ")</f>
        <v>4.5850449008624521</v>
      </c>
      <c r="BI16" s="266">
        <f>IF(ISNUMBER('Resol  Asuntos'!D16/NºAsuntos!G16),'Resol  Asuntos'!D16/NºAsuntos!G16," - ")</f>
        <v>0.13221303458700098</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505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505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360</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2</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1189</v>
      </c>
      <c r="AC18" s="551">
        <f>IF(ISNUMBER(Datos!Q18),Datos!Q18," - ")</f>
        <v>5</v>
      </c>
      <c r="AD18" s="553"/>
      <c r="AE18" s="566"/>
      <c r="AF18" s="555">
        <f>IF(ISNUMBER(Datos!L18),Datos!L18,"-")</f>
        <v>223</v>
      </c>
      <c r="AG18" s="553"/>
      <c r="AH18" s="553"/>
      <c r="AI18" s="553"/>
      <c r="AJ18" s="553"/>
      <c r="AK18" s="553"/>
      <c r="AL18" s="554"/>
      <c r="AM18" s="771">
        <f>IF(ISNUMBER(Datos!R18),Datos!R18," - ")</f>
        <v>1</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69</v>
      </c>
      <c r="BD18" s="697">
        <f>IF(ISNUMBER(Datos!N18),Datos!N18," - ")</f>
        <v>508</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1.1313035204567079</v>
      </c>
      <c r="BH18" s="769">
        <f>IF(ISNUMBER(((IF(D_I="SI",Datos!L18/Datos!K18,(Datos!L18+Datos!AF18)/(Datos!K18+Datos!AE18)))*11)/factor_trimestre),((IF(D_I="SI",Datos!L18/Datos!K18,(Datos!L18+Datos!AF18)/(Datos!K18+Datos!AE18)))*11)/factor_trimestre," - ")</f>
        <v>2.0630782169890662</v>
      </c>
      <c r="BI18" s="768">
        <f>IF(ISNUMBER('Resol  Asuntos'!D18/NºAsuntos!G18),'Resol  Asuntos'!D18/NºAsuntos!G18," - ")</f>
        <v>5.8031959629941128E-2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4</v>
      </c>
      <c r="B21" s="750" t="s">
        <v>505</v>
      </c>
      <c r="C21" s="751" t="str">
        <f>Datos!A21</f>
        <v xml:space="preserve">Jdos. de lo Penal                               </v>
      </c>
      <c r="D21" s="605"/>
      <c r="E21" s="721">
        <f>IF(ISNUMBER(Datos!AQ21),Datos!AQ21," - ")</f>
        <v>4</v>
      </c>
      <c r="F21" s="556">
        <f>IF(ISNUMBER(Datos!L21+Datos!K21-Datos!J21),Datos!L21+Datos!K21-Datos!J21," - ")</f>
        <v>1859</v>
      </c>
      <c r="G21" s="547">
        <f>IF(ISNUMBER(Datos!I21),Datos!I21," - ")</f>
        <v>1556</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1854</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1408</v>
      </c>
      <c r="AC21" s="551">
        <f>IF(ISNUMBER(Datos!Q21),Datos!Q21," - ")</f>
        <v>2628</v>
      </c>
      <c r="AD21" s="553"/>
      <c r="AE21" s="567"/>
      <c r="AF21" s="555">
        <f>IF(ISNUMBER(Datos!L21),Datos!L21,"-")</f>
        <v>1845</v>
      </c>
      <c r="AG21" s="553"/>
      <c r="AH21" s="553"/>
      <c r="AI21" s="553"/>
      <c r="AJ21" s="553"/>
      <c r="AK21" s="553"/>
      <c r="AL21" s="554"/>
      <c r="AM21" s="771">
        <f>IF(ISNUMBER(Datos!R21),Datos!R21," - ")</f>
        <v>4245</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1260</v>
      </c>
      <c r="BD21" s="697"/>
      <c r="BE21" s="697" t="str">
        <f>IF(ISNUMBER(Datos!BW21),Datos!BW21," - ")</f>
        <v xml:space="preserve"> - </v>
      </c>
      <c r="BF21" s="767" t="str">
        <f>IF(ISNUMBER(Datos!BX21),Datos!BX21," - ")</f>
        <v xml:space="preserve"> - </v>
      </c>
      <c r="BG21" s="768">
        <f>IF(ISNUMBER(Datos!K21/Datos!J21),Datos!K21/Datos!J21," - ")</f>
        <v>1.0100430416068866</v>
      </c>
      <c r="BH21" s="769">
        <f>IF(ISNUMBER(((Datos!L21/Datos!K21)*11)/factor_trimestre),((Datos!L21/Datos!K21)*11)/factor_trimestre," - ")</f>
        <v>14.4140625</v>
      </c>
      <c r="BI21" s="768">
        <f>IF(ISNUMBER('Resol  Asuntos'!D21/NºAsuntos!G21),'Resol  Asuntos'!D21/NºAsuntos!G21," - ")</f>
        <v>0.89488636363636365</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10</v>
      </c>
      <c r="F23" s="1200">
        <f>SUBTOTAL(9,F16:F22)</f>
        <v>6133</v>
      </c>
      <c r="G23" s="1200">
        <f>SUBTOTAL(9,G16:G22)</f>
        <v>6099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2158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13844</v>
      </c>
      <c r="AC23" s="1201">
        <f t="shared" si="5"/>
        <v>2867</v>
      </c>
      <c r="AD23" s="1201">
        <f t="shared" si="5"/>
        <v>0</v>
      </c>
      <c r="AE23" s="1201">
        <f t="shared" si="5"/>
        <v>0</v>
      </c>
      <c r="AF23" s="1201">
        <f t="shared" si="5"/>
        <v>6756</v>
      </c>
      <c r="AG23" s="1201">
        <f t="shared" si="5"/>
        <v>0</v>
      </c>
      <c r="AH23" s="1201">
        <f t="shared" si="5"/>
        <v>0</v>
      </c>
      <c r="AI23" s="1201">
        <f t="shared" si="5"/>
        <v>0</v>
      </c>
      <c r="AJ23" s="1201">
        <f t="shared" si="5"/>
        <v>0</v>
      </c>
      <c r="AK23" s="1201">
        <f t="shared" si="5"/>
        <v>0</v>
      </c>
      <c r="AL23" s="1201">
        <f t="shared" si="5"/>
        <v>0</v>
      </c>
      <c r="AM23" s="1201">
        <f t="shared" si="5"/>
        <v>4693</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2816</v>
      </c>
      <c r="BD23" s="1201">
        <f t="shared" si="5"/>
        <v>7518</v>
      </c>
      <c r="BE23" s="1201">
        <f t="shared" si="5"/>
        <v>0</v>
      </c>
      <c r="BF23" s="1201">
        <f t="shared" si="5"/>
        <v>0</v>
      </c>
      <c r="BG23" s="1201">
        <f>IF(ISNUMBER(Datos!K23/Datos!J23),Datos!K23/Datos!J23," - ")</f>
        <v>0.98142634339997159</v>
      </c>
      <c r="BH23" s="1205">
        <f>IF(ISNUMBER(((Datos!L23/Datos!K23)*11)/factor_trimestre),((Datos!L23/Datos!K23)*11)/factor_trimestre," - ")</f>
        <v>5.3681017047096216</v>
      </c>
      <c r="BI23" s="1201">
        <f>SUBTOTAL(9,BI16:BI22)</f>
        <v>1.0851313578533057</v>
      </c>
      <c r="BJ23" s="1201">
        <f>SUBTOTAL(9,BJ16:BJ22)</f>
        <v>0</v>
      </c>
      <c r="BK23" s="1201">
        <f>SUBTOTAL(9,BK16:BK22)</f>
        <v>0</v>
      </c>
      <c r="BL23" s="1201">
        <f>IF(ISNUMBER((I23-AB23+L23)/(F23)),(I23-AB23+L23)/(F23)," - ")</f>
        <v>-2.2572965922060981</v>
      </c>
      <c r="BM23" s="1208">
        <f>IF(ISNUMBER((Datos!P23-Datos!Q23)/(Datos!R23-Datos!P23+Datos!Q23)),(Datos!P23-Datos!Q23)/(Datos!R23-Datos!P23+Datos!Q23)," - ")</f>
        <v>-0.1312476860422066</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3</v>
      </c>
      <c r="B28" s="604" t="s">
        <v>507</v>
      </c>
      <c r="C28" s="7" t="str">
        <f>Datos!A28</f>
        <v xml:space="preserve">Jdos. de lo Social                              </v>
      </c>
      <c r="D28" s="553"/>
      <c r="E28" s="721">
        <f>IF(ISNUMBER(Datos!AQ28),Datos!AQ28," - ")</f>
        <v>3</v>
      </c>
      <c r="F28" s="556">
        <f>IF(ISNUMBER(Datos!L28+Datos!K28-Datos!J28),Datos!L28+Datos!K28-Datos!J28," - ")</f>
        <v>3013</v>
      </c>
      <c r="G28" s="547">
        <f>IF(ISNUMBER(Datos!I28),Datos!I28," - ")</f>
        <v>3044</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145</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2775</v>
      </c>
      <c r="AC28" s="240">
        <f>IF(ISNUMBER(Datos!Q28),Datos!Q28," - ")</f>
        <v>220</v>
      </c>
      <c r="AD28" s="374"/>
      <c r="AE28" s="566"/>
      <c r="AF28" s="372">
        <f>IF(ISNUMBER(Datos!L28),Datos!L28,"-")</f>
        <v>3018</v>
      </c>
      <c r="AG28" s="553"/>
      <c r="AH28" s="374"/>
      <c r="AI28" s="374"/>
      <c r="AJ28" s="553"/>
      <c r="AK28" s="553"/>
      <c r="AL28" s="554"/>
      <c r="AM28" s="375">
        <f>IF(ISNUMBER(Datos!R28),Datos!R28," - ")</f>
        <v>123</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823</v>
      </c>
      <c r="BD28" s="239">
        <f>IF(ISNUMBER(Datos!N28),Datos!N28," - ")</f>
        <v>497</v>
      </c>
      <c r="BE28" s="245" t="str">
        <f>IF(ISNUMBER(Datos!BW28),Datos!BW28," - ")</f>
        <v xml:space="preserve"> - </v>
      </c>
      <c r="BF28" s="246" t="str">
        <f>IF(ISNUMBER(Datos!BX28),Datos!BX28," - ")</f>
        <v xml:space="preserve"> - </v>
      </c>
      <c r="BG28" s="768">
        <f>IF(ISNUMBER(Datos!K28/Datos!J28),Datos!K28/Datos!J28," - ")</f>
        <v>0.99820143884892087</v>
      </c>
      <c r="BH28" s="769">
        <f>IF(ISNUMBER(((Datos!L28/Datos!K28)*11)/factor_trimestre),((Datos!L28/Datos!K28)*11)/factor_trimestre," - ")</f>
        <v>11.963243243243243</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3</v>
      </c>
      <c r="F30" s="1200">
        <f t="shared" ref="F30:K30" si="12">SUBTOTAL(9,F28:F29)</f>
        <v>3013</v>
      </c>
      <c r="G30" s="1200">
        <f t="shared" si="12"/>
        <v>3044</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145</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2775</v>
      </c>
      <c r="AC30" s="1201">
        <f t="shared" si="14"/>
        <v>220</v>
      </c>
      <c r="AD30" s="1201">
        <f t="shared" si="14"/>
        <v>0</v>
      </c>
      <c r="AE30" s="1201">
        <f t="shared" si="14"/>
        <v>0</v>
      </c>
      <c r="AF30" s="1202">
        <f t="shared" si="14"/>
        <v>3018</v>
      </c>
      <c r="AG30" s="1202">
        <f t="shared" si="14"/>
        <v>0</v>
      </c>
      <c r="AH30" s="1202">
        <f t="shared" si="14"/>
        <v>0</v>
      </c>
      <c r="AI30" s="1202">
        <f t="shared" si="14"/>
        <v>0</v>
      </c>
      <c r="AJ30" s="1201">
        <f t="shared" si="14"/>
        <v>0</v>
      </c>
      <c r="AK30" s="1202">
        <f t="shared" si="14"/>
        <v>0</v>
      </c>
      <c r="AL30" s="1202"/>
      <c r="AM30" s="1202">
        <f t="shared" ref="AM30:AV30" si="15">SUBTOTAL(9,AM28:AM29)</f>
        <v>123</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823</v>
      </c>
      <c r="BD30" s="1214"/>
      <c r="BE30" s="1201">
        <f>SUBTOTAL(9,BE28:BE29)</f>
        <v>0</v>
      </c>
      <c r="BF30" s="1210">
        <f>SUBTOTAL(9,BF28:BF29)</f>
        <v>0</v>
      </c>
      <c r="BG30" s="1201">
        <f>IF(ISNUMBER(Datos!K30/Datos!J30),Datos!K30/Datos!J30," - ")</f>
        <v>0.99820143884892087</v>
      </c>
      <c r="BH30" s="1205">
        <f>IF(ISNUMBER(((Datos!L30/Datos!K30)*11)/factor_trimestre),((Datos!L30/Datos!K30)*11)/factor_trimestre," - ")</f>
        <v>11.963243243243243</v>
      </c>
      <c r="BI30" s="1206"/>
      <c r="BJ30" s="1206">
        <f>IF(ISNUMBER(BL30/BM30),BL30/BM30," - ")</f>
        <v>2.431463657484235</v>
      </c>
      <c r="BK30" s="1199">
        <f>SUBTOTAL(9,BK28:BK29)</f>
        <v>0</v>
      </c>
      <c r="BL30" s="1201">
        <f t="shared" si="11"/>
        <v>-0.9210089611682708</v>
      </c>
      <c r="BM30" s="1208">
        <f>IF(ISNUMBER((Datos!P30-Datos!Q30)/(Datos!R30-Datos!P30+Datos!Q30)),(Datos!P30-Datos!Q30)/(Datos!R30-Datos!P30+Datos!Q30)," - ")</f>
        <v>-0.37878787878787878</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24</v>
      </c>
      <c r="F31" s="1120">
        <f t="shared" si="16"/>
        <v>9258</v>
      </c>
      <c r="G31" s="1120">
        <f t="shared" si="16"/>
        <v>9255</v>
      </c>
      <c r="H31" s="1122">
        <f t="shared" si="16"/>
        <v>0</v>
      </c>
      <c r="I31" s="1120">
        <f t="shared" si="16"/>
        <v>0</v>
      </c>
      <c r="J31" s="1122">
        <f t="shared" si="16"/>
        <v>0</v>
      </c>
      <c r="K31" s="1122">
        <f t="shared" si="16"/>
        <v>0</v>
      </c>
      <c r="L31" s="1183">
        <f t="shared" si="16"/>
        <v>0</v>
      </c>
      <c r="M31" s="1183">
        <f t="shared" si="16"/>
        <v>0</v>
      </c>
      <c r="N31" s="1183">
        <f t="shared" si="16"/>
        <v>1452</v>
      </c>
      <c r="O31" s="1183">
        <f t="shared" si="16"/>
        <v>0</v>
      </c>
      <c r="P31" s="1183">
        <f t="shared" si="16"/>
        <v>0</v>
      </c>
      <c r="Q31" s="1122">
        <f t="shared" si="16"/>
        <v>5294</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16814</v>
      </c>
      <c r="AC31" s="1121">
        <f t="shared" si="17"/>
        <v>6852</v>
      </c>
      <c r="AD31" s="1121">
        <f t="shared" si="17"/>
        <v>0</v>
      </c>
      <c r="AE31" s="1121">
        <f t="shared" si="17"/>
        <v>0</v>
      </c>
      <c r="AF31" s="1128">
        <f t="shared" si="17"/>
        <v>9893</v>
      </c>
      <c r="AG31" s="1128">
        <f t="shared" si="17"/>
        <v>0</v>
      </c>
      <c r="AH31" s="1128">
        <f t="shared" si="17"/>
        <v>372</v>
      </c>
      <c r="AI31" s="1128">
        <f t="shared" si="17"/>
        <v>0</v>
      </c>
      <c r="AJ31" s="1121">
        <f t="shared" si="17"/>
        <v>0</v>
      </c>
      <c r="AK31" s="1128">
        <f t="shared" si="17"/>
        <v>0</v>
      </c>
      <c r="AL31" s="1128">
        <f t="shared" si="17"/>
        <v>0</v>
      </c>
      <c r="AM31" s="1128">
        <f t="shared" si="17"/>
        <v>20847</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7140</v>
      </c>
      <c r="BD31" s="1120">
        <f t="shared" si="17"/>
        <v>14314</v>
      </c>
      <c r="BE31" s="1120">
        <f t="shared" si="17"/>
        <v>0</v>
      </c>
      <c r="BF31" s="1130">
        <f t="shared" si="17"/>
        <v>0</v>
      </c>
      <c r="BG31" s="1227">
        <f>IF(ISNUMBER(Datos!K31/Datos!J31),Datos!K31/Datos!J31," - ")</f>
        <v>0.96347270236775162</v>
      </c>
      <c r="BH31" s="1227">
        <f>IF(ISNUMBER(((Datos!L31/Datos!K31)*11)/factor_trimestre),((Datos!L31/Datos!K31)*11)/factor_trimestre," - ")</f>
        <v>8.8980773136551345</v>
      </c>
      <c r="BI31" s="1106">
        <f>IF(ISNUMBER(Datos!J31/Datos!I31),Datos!J31/Datos!I31," - ")</f>
        <v>1.3617266953857086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-1.8161589976236767</v>
      </c>
      <c r="BM31" s="1191">
        <f>IF(ISNUMBER((Datos!P31-Datos!Q31+R31)/(Datos!R31-Datos!P31+Datos!Q31-R31)),(Datos!P31-Datos!Q31+R31)/(Datos!R31-Datos!P31+Datos!Q31-R31)," - ")</f>
        <v>-6.9538049542512831E-2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335</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2056.6666666666665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336</v>
      </c>
      <c r="D33" s="562"/>
      <c r="E33" s="638">
        <f>IF(ISNUMBER(STDEV(E8:E30)),STDEV(E8:E30),"-")</f>
        <v>3.5647724105728389</v>
      </c>
      <c r="F33" s="677">
        <f>IF(ISNUMBER(STDEV(F8:F30)),STDEV(F8:F30),"-")</f>
        <v>2225.2701280647125</v>
      </c>
      <c r="G33" s="678">
        <f>IF(ISNUMBER(STDEV(G8:G30)),STDEV(G8:G30),"-")</f>
        <v>2171.8104774588414</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5140.2295209239219</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1168.5090344692949</v>
      </c>
      <c r="BD33" s="677"/>
      <c r="BE33" s="677">
        <f>IF(ISNUMBER(STDEV(BE8:BE30)),STDEV(BE8:BE30),"-")</f>
        <v>0</v>
      </c>
      <c r="BF33" s="682">
        <f>IF(ISNUMBER(STDEV(BF8:BF30)),STDEV(BF8:BF30),"-")</f>
        <v>0</v>
      </c>
      <c r="BG33" s="1055">
        <f>IF(ISNUMBER(STDEV(BG8:BG30)),STDEV(BG8:BG30),"-")</f>
        <v>5.8937887715627628E-2</v>
      </c>
      <c r="BH33" s="1061">
        <f>IF(ISNUMBER(STDEV(BH8:BH30)),STDEV(BH8:BH30),"-")</f>
        <v>4.4239907774825129</v>
      </c>
      <c r="BI33" s="273">
        <f>IF(ISNUMBER(STDEV(BI8:BI30)),STDEV(BI8:BI30),"-")</f>
        <v>0.47252885422188634</v>
      </c>
      <c r="BJ33" s="244" t="str">
        <f>IF(ISNUMBER(BL33/BM33),BL33/BM33," - ")</f>
        <v xml:space="preserve"> - </v>
      </c>
      <c r="BK33" s="713"/>
      <c r="BL33" s="685">
        <f>IF(ISNUMBER(STDEV(BL8:BL30)),STDEV(BL8:BL30),"-")</f>
        <v>0.6738762872216344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333</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334</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KSNhNQsegpAF6PrmiN1LZqjC0m4mAAQGrNtz552bJnKMxN9bqGal3hY5ka94/rlQtcNF0qeB7cYr6/NRa5DePw==" saltValue="rpBsCMH6eTZsEyOQg3c4w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SABADELL</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459</v>
      </c>
      <c r="B5" s="297"/>
      <c r="C5" s="1888" t="str">
        <f>"Año:  " &amp;Criterios!B$5 &amp; "          Trimestre   " &amp;Criterios!D$5 &amp; " al " &amp;Criterios!D$6</f>
        <v>Año:  2021          Trimestre   1 al 4</v>
      </c>
      <c r="D5" s="1890" t="s">
        <v>485</v>
      </c>
      <c r="E5" s="1847" t="s">
        <v>743</v>
      </c>
      <c r="F5" s="1885" t="s">
        <v>521</v>
      </c>
      <c r="G5" s="1847" t="s">
        <v>169</v>
      </c>
      <c r="H5" s="1847" t="s">
        <v>776</v>
      </c>
      <c r="I5" s="1847" t="s">
        <v>744</v>
      </c>
      <c r="J5" s="1847" t="s">
        <v>881</v>
      </c>
      <c r="K5" s="1847" t="s">
        <v>745</v>
      </c>
      <c r="L5" s="1847" t="s">
        <v>774</v>
      </c>
      <c r="M5" s="1847" t="s">
        <v>883</v>
      </c>
      <c r="N5" s="1847" t="s">
        <v>771</v>
      </c>
      <c r="O5" s="1847" t="s">
        <v>805</v>
      </c>
      <c r="P5" s="1880" t="s">
        <v>873</v>
      </c>
      <c r="Q5" s="1880" t="s">
        <v>876</v>
      </c>
      <c r="R5" s="1847" t="s">
        <v>780</v>
      </c>
      <c r="S5" s="1847" t="s">
        <v>746</v>
      </c>
      <c r="T5" s="1847" t="s">
        <v>1036</v>
      </c>
      <c r="U5" s="1847" t="s">
        <v>1037</v>
      </c>
      <c r="V5" s="1859" t="s">
        <v>864</v>
      </c>
      <c r="W5" s="1850" t="s">
        <v>760</v>
      </c>
      <c r="X5" s="1853" t="s">
        <v>761</v>
      </c>
      <c r="Y5" s="1856" t="s">
        <v>781</v>
      </c>
      <c r="Z5" s="1856" t="s">
        <v>806</v>
      </c>
      <c r="AA5" s="1847" t="s">
        <v>750</v>
      </c>
      <c r="AB5" s="1847" t="s">
        <v>762</v>
      </c>
      <c r="AC5" s="1847" t="s">
        <v>763</v>
      </c>
      <c r="AD5" s="1847" t="s">
        <v>703</v>
      </c>
      <c r="AE5" s="1847" t="s">
        <v>884</v>
      </c>
      <c r="AF5" s="1847" t="s">
        <v>239</v>
      </c>
      <c r="AG5" s="1847" t="s">
        <v>764</v>
      </c>
      <c r="AH5" s="1847" t="s">
        <v>751</v>
      </c>
      <c r="AI5" s="1847" t="s">
        <v>752</v>
      </c>
      <c r="AJ5" s="1847" t="s">
        <v>765</v>
      </c>
      <c r="AK5" s="1847" t="s">
        <v>766</v>
      </c>
      <c r="AL5" s="1847" t="s">
        <v>767</v>
      </c>
      <c r="AM5" s="1871" t="s">
        <v>768</v>
      </c>
      <c r="AN5" s="1847" t="s">
        <v>318</v>
      </c>
      <c r="AO5" s="1847" t="s">
        <v>754</v>
      </c>
      <c r="AP5" s="1847" t="s">
        <v>755</v>
      </c>
      <c r="AQ5" s="1847" t="s">
        <v>782</v>
      </c>
      <c r="AR5" s="1847" t="s">
        <v>783</v>
      </c>
      <c r="AS5" s="1847" t="s">
        <v>785</v>
      </c>
      <c r="AT5" s="1847" t="s">
        <v>778</v>
      </c>
      <c r="AU5" s="1847" t="s">
        <v>430</v>
      </c>
      <c r="AV5" s="1847" t="s">
        <v>769</v>
      </c>
      <c r="AW5" s="1847" t="s">
        <v>708</v>
      </c>
      <c r="BT5" s="1847" t="s">
        <v>1038</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784</v>
      </c>
      <c r="B9" s="749" t="s">
        <v>315</v>
      </c>
      <c r="C9" s="770" t="str">
        <f>Datos!A9</f>
        <v xml:space="preserve">Jdos. 1ª Instancia   </v>
      </c>
      <c r="D9" s="597"/>
      <c r="E9" s="752">
        <f>IF(ISNUMBER(Datos!AQ9),Datos!AQ9," - ")</f>
        <v>8</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2712</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3192</v>
      </c>
      <c r="AA9" s="555" t="str">
        <f>IF(ISNUMBER(IF(J_V="SI",Datos!L9,Datos!L9+Datos!AB9)-IF(Monitorios="SI",Datos!CD9,0)),
                          IF(J_V="SI",Datos!L9,Datos!L9+Datos!AB9)-IF(Monitorios="SI",Datos!CD9,0),
                          " - ")</f>
        <v xml:space="preserve"> - </v>
      </c>
      <c r="AB9" s="553"/>
      <c r="AC9" s="553"/>
      <c r="AD9" s="567"/>
      <c r="AE9" s="567">
        <f>IF(ISNUMBER(Datos!R9),Datos!R9," - ")</f>
        <v>14921</v>
      </c>
      <c r="AF9" s="697" t="str">
        <f>IF(ISNUMBER(Datos!BV9),Datos!BV9," - ")</f>
        <v xml:space="preserve"> - </v>
      </c>
      <c r="AG9" s="556" t="str">
        <f>IF(ISNUMBER(Datos!DV9),Datos!DV9," - ")</f>
        <v xml:space="preserve"> - </v>
      </c>
      <c r="AH9" s="557"/>
      <c r="AI9" s="558"/>
      <c r="AJ9" s="556">
        <f>IF(ISNUMBER(Datos!M9),Datos!M9," - ")</f>
        <v>2407</v>
      </c>
      <c r="AK9" s="697">
        <f>IF(ISNUMBER(Datos!N9),Datos!N9," - ")</f>
        <v>5034</v>
      </c>
      <c r="AL9" s="697" t="str">
        <f>IF(ISNUMBER(Datos!BW9),Datos!BW9," - ")</f>
        <v xml:space="preserve"> - </v>
      </c>
      <c r="AM9" s="767" t="str">
        <f>IF(ISNUMBER(Datos!BX9),Datos!BX9," - ")</f>
        <v xml:space="preserve"> - </v>
      </c>
      <c r="AN9" s="768"/>
      <c r="AO9" s="769">
        <f>IF(ISNUMBER(((NºAsuntos!I9/NºAsuntos!G9)*11)/factor_trimestre),((NºAsuntos!I9/NºAsuntos!G9)*11)/factor_trimestre," - ")</f>
        <v>12.862557562876372</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-3.1166807350172066E-2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315</v>
      </c>
      <c r="C10" s="751" t="str">
        <f>Datos!A10</f>
        <v>Jdos. Violencia contra la mujer</v>
      </c>
      <c r="D10" s="605"/>
      <c r="E10" s="752">
        <f>IF(ISNUMBER(Datos!AQ10),Datos!AQ10," - ")</f>
        <v>1</v>
      </c>
      <c r="F10" s="556">
        <f>IF(ISNUMBER(Datos!L10+Datos!K10-Datos!J10),Datos!L10+Datos!K10-Datos!J10," - ")</f>
        <v>112</v>
      </c>
      <c r="G10" s="556">
        <f>IF(ISNUMBER(Datos!I10),Datos!I10," - ")</f>
        <v>112</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195</v>
      </c>
      <c r="Z10" s="810">
        <f>IF(ISNUMBER(Datos!Q10),Datos!Q10," - ")</f>
        <v>63</v>
      </c>
      <c r="AA10" s="555">
        <f>IF(ISNUMBER(Datos!L10),Datos!L10,"-")</f>
        <v>119</v>
      </c>
      <c r="AB10" s="553"/>
      <c r="AC10" s="553"/>
      <c r="AD10" s="567"/>
      <c r="AE10" s="567">
        <f>IF(ISNUMBER(Datos!R10),Datos!R10," - ")</f>
        <v>127</v>
      </c>
      <c r="AF10" s="697" t="str">
        <f>IF(ISNUMBER(Datos!BV10),Datos!BV10," - ")</f>
        <v xml:space="preserve"> - </v>
      </c>
      <c r="AG10" s="556" t="str">
        <f>IF(ISNUMBER(Datos!DV10),Datos!DV10," - ")</f>
        <v xml:space="preserve"> - </v>
      </c>
      <c r="AH10" s="557"/>
      <c r="AI10" s="558"/>
      <c r="AJ10" s="556">
        <f>IF(ISNUMBER(Datos!M10),Datos!M10," - ")</f>
        <v>70</v>
      </c>
      <c r="AK10" s="697">
        <f>IF(ISNUMBER(Datos!N10),Datos!N10," - ")</f>
        <v>60</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6.7128205128205138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-0.13013698630136986</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2</v>
      </c>
      <c r="B11" s="750" t="s">
        <v>315</v>
      </c>
      <c r="C11" s="751" t="str">
        <f>Datos!A11</f>
        <v xml:space="preserve">Jdos. Familia                                   </v>
      </c>
      <c r="D11" s="605"/>
      <c r="E11" s="752">
        <f>IF(ISNUMBER(Datos!AQ11),Datos!AQ11," - ")</f>
        <v>2</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235</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510</v>
      </c>
      <c r="AA11" s="555" t="str">
        <f>IF(ISNUMBER(IF(J_V="SI",Datos!L11,Datos!L11+Datos!AB11)-IF(Monitorios="SI",Datos!CD11,0)),
                          IF(J_V="SI",Datos!L11,Datos!L11+Datos!AB11)-IF(Monitorios="SI",Datos!CD11,0),
                          " - ")</f>
        <v xml:space="preserve"> - </v>
      </c>
      <c r="AB11" s="553"/>
      <c r="AC11" s="553"/>
      <c r="AD11" s="567"/>
      <c r="AE11" s="567">
        <f>IF(ISNUMBER(Datos!R11),Datos!R11," - ")</f>
        <v>983</v>
      </c>
      <c r="AF11" s="697" t="str">
        <f>IF(ISNUMBER(Datos!BV11),Datos!BV11," - ")</f>
        <v xml:space="preserve"> - </v>
      </c>
      <c r="AG11" s="556" t="str">
        <f>IF(ISNUMBER(Datos!DV11),Datos!DV11," - ")</f>
        <v xml:space="preserve"> - </v>
      </c>
      <c r="AH11" s="557"/>
      <c r="AI11" s="558"/>
      <c r="AJ11" s="556">
        <f>IF(ISNUMBER(Datos!M11),Datos!M11," - ")</f>
        <v>1024</v>
      </c>
      <c r="AK11" s="697">
        <f>IF(ISNUMBER(Datos!N11),Datos!N11," - ")</f>
        <v>1205</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4.4763888888888888</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-0.21860095389507153</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315</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315</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11</v>
      </c>
      <c r="F14" s="1200">
        <f>SUBTOTAL(9,F8:F13)</f>
        <v>112</v>
      </c>
      <c r="G14" s="1200">
        <f>SUBTOTAL(9,G8:G13)</f>
        <v>112</v>
      </c>
      <c r="H14" s="1214"/>
      <c r="I14" s="1200">
        <f t="shared" ref="I14:N14" si="1">SUBTOTAL(9,I8:I13)</f>
        <v>0</v>
      </c>
      <c r="J14" s="1167">
        <f t="shared" si="1"/>
        <v>0</v>
      </c>
      <c r="K14" s="1214">
        <f t="shared" si="1"/>
        <v>0</v>
      </c>
      <c r="L14" s="1214">
        <f t="shared" si="1"/>
        <v>0</v>
      </c>
      <c r="M14" s="1214">
        <f t="shared" si="1"/>
        <v>0</v>
      </c>
      <c r="N14" s="1214">
        <f t="shared" si="1"/>
        <v>2991</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195</v>
      </c>
      <c r="Z14" s="1213">
        <f t="shared" si="3"/>
        <v>3765</v>
      </c>
      <c r="AA14" s="1202">
        <f t="shared" si="3"/>
        <v>119</v>
      </c>
      <c r="AB14" s="1202">
        <f t="shared" si="3"/>
        <v>0</v>
      </c>
      <c r="AC14" s="1202">
        <f t="shared" si="3"/>
        <v>0</v>
      </c>
      <c r="AD14" s="1202">
        <f t="shared" si="3"/>
        <v>0</v>
      </c>
      <c r="AE14" s="1202">
        <f t="shared" si="3"/>
        <v>16031</v>
      </c>
      <c r="AF14" s="1214">
        <f t="shared" si="3"/>
        <v>0</v>
      </c>
      <c r="AG14" s="1214">
        <f t="shared" si="3"/>
        <v>0</v>
      </c>
      <c r="AH14" s="1214">
        <f t="shared" si="3"/>
        <v>0</v>
      </c>
      <c r="AI14" s="1214">
        <f t="shared" si="3"/>
        <v>0</v>
      </c>
      <c r="AJ14" s="1214">
        <f t="shared" si="3"/>
        <v>3501</v>
      </c>
      <c r="AK14" s="1214">
        <f t="shared" si="3"/>
        <v>6299</v>
      </c>
      <c r="AL14" s="1214">
        <f t="shared" si="3"/>
        <v>0</v>
      </c>
      <c r="AM14" s="1214">
        <f t="shared" si="3"/>
        <v>0</v>
      </c>
      <c r="AN14" s="1214">
        <f t="shared" si="3"/>
        <v>0</v>
      </c>
      <c r="AO14" s="1206">
        <f>IF(ISNUMBER(((NºAsuntos!I14/NºAsuntos!G14)*11)/factor_trimestre),((NºAsuntos!I14/NºAsuntos!G14)*11)/factor_trimestre," - ")</f>
        <v>11.09800236653442</v>
      </c>
      <c r="AP14" s="1216" t="str">
        <f>IF(ISNUMBER(Datos!CI14/Datos!CJ14),Datos!CI14/Datos!CJ14," - ")</f>
        <v xml:space="preserve"> - </v>
      </c>
      <c r="AQ14" s="1240">
        <f>SUBTOTAL(9,AQ9:AQ13)</f>
        <v>0</v>
      </c>
      <c r="AR14" s="1240">
        <f>SUBTOTAL(9,AR9:AR13)</f>
        <v>-0.37990474754661346</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5</v>
      </c>
      <c r="B16" s="750" t="s">
        <v>505</v>
      </c>
      <c r="C16" s="770" t="str">
        <f>Datos!A16</f>
        <v xml:space="preserve">Jdos. Instrucción                               </v>
      </c>
      <c r="D16" s="597"/>
      <c r="E16" s="752">
        <f>IF(ISNUMBER(Datos!AQ16),Datos!AQ16," - ")</f>
        <v>5</v>
      </c>
      <c r="F16" s="547">
        <f>IF(ISNUMBER(AA16+Y16-Datos!J16-K16),AA16+Y16-Datos!J16-K16," - ")</f>
        <v>4274</v>
      </c>
      <c r="G16" s="556">
        <f>IF(ISNUMBER(IF(D_I="SI",Datos!I16,Datos!I16+Datos!AC16)),IF(D_I="SI",Datos!I16,Datos!I16+Datos!AC16)," - ")</f>
        <v>4183</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302</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11247</v>
      </c>
      <c r="Z16" s="810">
        <f>IF(ISNUMBER(Datos!Q16),Datos!Q16," - ")</f>
        <v>234</v>
      </c>
      <c r="AA16" s="555">
        <f>IF(ISNUMBER(IF(D_I="SI",Datos!L16,Datos!L16+Datos!AF16)),IF(D_I="SI",Datos!L16,Datos!L16+Datos!AF16)," - ")</f>
        <v>4688</v>
      </c>
      <c r="AB16" s="553"/>
      <c r="AC16" s="553"/>
      <c r="AD16" s="567"/>
      <c r="AE16" s="567">
        <f>IF(ISNUMBER(Datos!R16),Datos!R16," - ")</f>
        <v>447</v>
      </c>
      <c r="AF16" s="697" t="str">
        <f>IF(ISNUMBER(Datos!BV16),Datos!BV16," - ")</f>
        <v xml:space="preserve"> - </v>
      </c>
      <c r="AG16" s="556"/>
      <c r="AH16" s="557"/>
      <c r="AI16" s="558"/>
      <c r="AJ16" s="556">
        <f>IF(ISNUMBER(Datos!M16),Datos!M16," - ")</f>
        <v>1487</v>
      </c>
      <c r="AK16" s="697">
        <f>IF(ISNUMBER(Datos!N16),Datos!N16," - ")</f>
        <v>7010</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4.5850449008624521</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505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505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360</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2</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1189</v>
      </c>
      <c r="Z18" s="810">
        <f>IF(ISNUMBER(Datos!Q18),Datos!Q18," - ")</f>
        <v>5</v>
      </c>
      <c r="AA18" s="555">
        <f>IF(ISNUMBER(Datos!L18),Datos!L18,"-")</f>
        <v>223</v>
      </c>
      <c r="AB18" s="553"/>
      <c r="AC18" s="553"/>
      <c r="AD18" s="567"/>
      <c r="AE18" s="567">
        <f>IF(ISNUMBER(Datos!R18),Datos!R18," - ")</f>
        <v>1</v>
      </c>
      <c r="AF18" s="697" t="str">
        <f>IF(ISNUMBER(Datos!BV18),Datos!BV18," - ")</f>
        <v xml:space="preserve"> - </v>
      </c>
      <c r="AG18" s="556" t="str">
        <f>IF(ISNUMBER(Datos!DV18),Datos!DV18," - ")</f>
        <v xml:space="preserve"> - </v>
      </c>
      <c r="AH18" s="557"/>
      <c r="AI18" s="558"/>
      <c r="AJ18" s="556">
        <f>IF(ISNUMBER(Datos!M18),Datos!M18," - ")</f>
        <v>69</v>
      </c>
      <c r="AK18" s="697">
        <f>IF(ISNUMBER(Datos!N18),Datos!N18," - ")</f>
        <v>508</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2.0630782169890662</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4</v>
      </c>
      <c r="B21" s="750" t="s">
        <v>505</v>
      </c>
      <c r="C21" s="751" t="str">
        <f>Datos!A21</f>
        <v xml:space="preserve">Jdos. de lo Penal                               </v>
      </c>
      <c r="D21" s="605"/>
      <c r="E21" s="752">
        <f>IF(ISNUMBER(Datos!AQ21),Datos!AQ21," - ")</f>
        <v>4</v>
      </c>
      <c r="F21" s="556">
        <f>IF(ISNUMBER(Datos!L21+Datos!K21-Datos!J21),Datos!L21+Datos!K21-Datos!J21," - ")</f>
        <v>1859</v>
      </c>
      <c r="G21" s="556">
        <f>IF(ISNUMBER(Datos!I21),Datos!I21," - ")</f>
        <v>1556</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1854</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1408</v>
      </c>
      <c r="Z21" s="810">
        <f>IF(ISNUMBER(Datos!Q21),Datos!Q21," - ")</f>
        <v>2628</v>
      </c>
      <c r="AA21" s="555">
        <f>IF(ISNUMBER(Datos!L21),Datos!L21,"-")</f>
        <v>1845</v>
      </c>
      <c r="AB21" s="553"/>
      <c r="AC21" s="553"/>
      <c r="AD21" s="567"/>
      <c r="AE21" s="567">
        <f>IF(ISNUMBER(Datos!R21),Datos!R21," - ")</f>
        <v>4245</v>
      </c>
      <c r="AF21" s="697" t="str">
        <f>IF(ISNUMBER(Datos!BV21),Datos!BV21," - ")</f>
        <v xml:space="preserve"> - </v>
      </c>
      <c r="AG21" s="556"/>
      <c r="AH21" s="557"/>
      <c r="AI21" s="558"/>
      <c r="AJ21" s="556">
        <f>IF(ISNUMBER(Datos!M21),Datos!M21," - ")</f>
        <v>1260</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14.4140625</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10</v>
      </c>
      <c r="F23" s="1200">
        <f>SUBTOTAL(9,F16:F22)</f>
        <v>6133</v>
      </c>
      <c r="G23" s="1200">
        <f>SUBTOTAL(9,G16:G22)</f>
        <v>6099</v>
      </c>
      <c r="H23" s="1245">
        <f>SUBTOTAL(9,H16:H22)</f>
        <v>0</v>
      </c>
      <c r="I23" s="1220">
        <f>SUBTOTAL(9,I16:I22)</f>
        <v>0</v>
      </c>
      <c r="J23" s="1167">
        <f>SUBTOTAL(9,J15:J22)</f>
        <v>0</v>
      </c>
      <c r="K23" s="1245">
        <f t="shared" ref="K23:S23" si="4">SUBTOTAL(9,K16:K22)</f>
        <v>0</v>
      </c>
      <c r="L23" s="1245">
        <f t="shared" si="4"/>
        <v>0</v>
      </c>
      <c r="M23" s="1245">
        <f t="shared" si="4"/>
        <v>0</v>
      </c>
      <c r="N23" s="1245">
        <f t="shared" si="4"/>
        <v>2158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13844</v>
      </c>
      <c r="Z23" s="1245">
        <f t="shared" si="5"/>
        <v>2867</v>
      </c>
      <c r="AA23" s="1245">
        <f t="shared" si="5"/>
        <v>6756</v>
      </c>
      <c r="AB23" s="1245">
        <f t="shared" si="5"/>
        <v>0</v>
      </c>
      <c r="AC23" s="1245">
        <f t="shared" si="5"/>
        <v>0</v>
      </c>
      <c r="AD23" s="1245">
        <f t="shared" si="5"/>
        <v>0</v>
      </c>
      <c r="AE23" s="1245">
        <f t="shared" si="5"/>
        <v>4693</v>
      </c>
      <c r="AF23" s="1245">
        <f t="shared" si="5"/>
        <v>0</v>
      </c>
      <c r="AG23" s="1245">
        <f t="shared" si="5"/>
        <v>0</v>
      </c>
      <c r="AH23" s="1245">
        <f t="shared" si="5"/>
        <v>0</v>
      </c>
      <c r="AI23" s="1245">
        <f t="shared" si="5"/>
        <v>0</v>
      </c>
      <c r="AJ23" s="1245">
        <f t="shared" si="5"/>
        <v>2816</v>
      </c>
      <c r="AK23" s="1245">
        <f t="shared" si="5"/>
        <v>7518</v>
      </c>
      <c r="AL23" s="1245">
        <f t="shared" si="5"/>
        <v>0</v>
      </c>
      <c r="AM23" s="1245">
        <f t="shared" si="5"/>
        <v>0</v>
      </c>
      <c r="AN23" s="1245">
        <f t="shared" si="5"/>
        <v>0</v>
      </c>
      <c r="AO23" s="1247">
        <f>IF(ISNUMBER(((NºAsuntos!I23/NºAsuntos!G23)*11)/factor_trimestre),((NºAsuntos!I23/NºAsuntos!G23)*11)/factor_trimestre," - ")</f>
        <v>5.3681017047096216</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3</v>
      </c>
      <c r="B28" s="604" t="s">
        <v>507</v>
      </c>
      <c r="C28" s="7" t="str">
        <f>Datos!A28</f>
        <v xml:space="preserve">Jdos. de lo Social                              </v>
      </c>
      <c r="D28" s="566"/>
      <c r="E28" s="721">
        <f>IF(ISNUMBER(Datos!AQ28),Datos!AQ28," - ")</f>
        <v>3</v>
      </c>
      <c r="F28" s="556">
        <f>IF(ISNUMBER(Datos!L28+Datos!K28-Datos!J28),Datos!L28+Datos!K28-Datos!J28," - ")</f>
        <v>3013</v>
      </c>
      <c r="G28" s="556">
        <f>IF(ISNUMBER(Datos!I28),Datos!I28," - ")</f>
        <v>3044</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145</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3018</v>
      </c>
      <c r="AB28" s="553"/>
      <c r="AC28" s="553"/>
      <c r="AD28" s="567"/>
      <c r="AE28" s="567">
        <f>IF(ISNUMBER(Datos!R28),Datos!R28," - ")</f>
        <v>123</v>
      </c>
      <c r="AF28" s="243" t="str">
        <f>IF(ISNUMBER(Datos!BV28),Datos!BV28," - ")</f>
        <v xml:space="preserve"> - </v>
      </c>
      <c r="AG28" s="556"/>
      <c r="AH28" s="557"/>
      <c r="AI28" s="558"/>
      <c r="AJ28" s="239">
        <f>IF(ISNUMBER(Datos!M28),Datos!M28," - ")</f>
        <v>823</v>
      </c>
      <c r="AK28" s="245">
        <f>IF(ISNUMBER(Datos!N28),Datos!N28," - ")</f>
        <v>497</v>
      </c>
      <c r="AL28" s="245" t="str">
        <f>IF(ISNUMBER(Datos!BW28),Datos!BW28," - ")</f>
        <v xml:space="preserve"> - </v>
      </c>
      <c r="AM28" s="246" t="str">
        <f>IF(ISNUMBER(Datos!BX28),Datos!BX28," - ")</f>
        <v xml:space="preserve"> - </v>
      </c>
      <c r="AN28" s="405"/>
      <c r="AO28" s="406">
        <f>IF(ISNUMBER(((Datos!L28/Datos!K28)*11)/factor_trimestre),((Datos!L28/Datos!K28)*11)/factor_trimestre," - ")</f>
        <v>11.963243243243243</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3</v>
      </c>
      <c r="F30" s="1200">
        <f t="shared" si="8"/>
        <v>3013</v>
      </c>
      <c r="G30" s="1200">
        <f t="shared" si="8"/>
        <v>3044</v>
      </c>
      <c r="H30" s="1214">
        <f t="shared" si="8"/>
        <v>0</v>
      </c>
      <c r="I30" s="1200">
        <f t="shared" si="8"/>
        <v>0</v>
      </c>
      <c r="J30" s="1170">
        <f t="shared" si="8"/>
        <v>0</v>
      </c>
      <c r="K30" s="1200">
        <f t="shared" si="8"/>
        <v>0</v>
      </c>
      <c r="L30" s="1200">
        <f t="shared" si="8"/>
        <v>0</v>
      </c>
      <c r="M30" s="1200">
        <f t="shared" si="8"/>
        <v>0</v>
      </c>
      <c r="N30" s="1200">
        <f t="shared" si="8"/>
        <v>145</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3018</v>
      </c>
      <c r="AB30" s="1202">
        <f t="shared" si="9"/>
        <v>0</v>
      </c>
      <c r="AC30" s="1202">
        <f t="shared" si="9"/>
        <v>0</v>
      </c>
      <c r="AD30" s="1213">
        <f t="shared" si="9"/>
        <v>0</v>
      </c>
      <c r="AE30" s="1213">
        <f t="shared" si="9"/>
        <v>123</v>
      </c>
      <c r="AF30" s="1214">
        <f t="shared" si="9"/>
        <v>0</v>
      </c>
      <c r="AG30" s="1200">
        <f t="shared" si="9"/>
        <v>0</v>
      </c>
      <c r="AH30" s="1215">
        <f t="shared" si="9"/>
        <v>0</v>
      </c>
      <c r="AI30" s="1210">
        <f t="shared" si="9"/>
        <v>0</v>
      </c>
      <c r="AJ30" s="1200">
        <f t="shared" si="9"/>
        <v>823</v>
      </c>
      <c r="AK30" s="1214">
        <f t="shared" si="9"/>
        <v>497</v>
      </c>
      <c r="AL30" s="1201">
        <f t="shared" si="9"/>
        <v>0</v>
      </c>
      <c r="AM30" s="1210">
        <f t="shared" si="9"/>
        <v>0</v>
      </c>
      <c r="AN30" s="1206">
        <f>IF(ISNUMBER(NºAsuntos!G30/NºAsuntos!E30),NºAsuntos!G30/NºAsuntos!E30," - ")</f>
        <v>0.99820143884892087</v>
      </c>
      <c r="AO30" s="1222">
        <f>IF(ISNUMBER(((Datos!L30/Datos!K30)*11)/factor_trimestre),((Datos!L30/Datos!K30)*11)/factor_trimestre," - ")</f>
        <v>11.963243243243243</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24</v>
      </c>
      <c r="F31" s="1120">
        <f t="shared" si="10"/>
        <v>9258</v>
      </c>
      <c r="G31" s="1120">
        <f t="shared" si="10"/>
        <v>9255</v>
      </c>
      <c r="H31" s="1121">
        <f t="shared" si="10"/>
        <v>0</v>
      </c>
      <c r="I31" s="1120">
        <f t="shared" si="10"/>
        <v>0</v>
      </c>
      <c r="J31" s="1122">
        <f t="shared" si="10"/>
        <v>0</v>
      </c>
      <c r="K31" s="1120">
        <f t="shared" si="10"/>
        <v>0</v>
      </c>
      <c r="L31" s="1123">
        <f t="shared" si="10"/>
        <v>0</v>
      </c>
      <c r="M31" s="1120">
        <f t="shared" si="10"/>
        <v>0</v>
      </c>
      <c r="N31" s="1121">
        <f t="shared" si="10"/>
        <v>5294</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14039</v>
      </c>
      <c r="Z31" s="1127">
        <f t="shared" si="11"/>
        <v>6632</v>
      </c>
      <c r="AA31" s="1128">
        <f t="shared" si="11"/>
        <v>9893</v>
      </c>
      <c r="AB31" s="1128">
        <f t="shared" si="11"/>
        <v>0</v>
      </c>
      <c r="AC31" s="1128">
        <f t="shared" si="11"/>
        <v>0</v>
      </c>
      <c r="AD31" s="1129">
        <f t="shared" si="11"/>
        <v>0</v>
      </c>
      <c r="AE31" s="1129">
        <f t="shared" si="11"/>
        <v>20847</v>
      </c>
      <c r="AF31" s="1130">
        <f t="shared" si="11"/>
        <v>0</v>
      </c>
      <c r="AG31" s="1131">
        <f t="shared" si="11"/>
        <v>0</v>
      </c>
      <c r="AH31" s="1132">
        <f t="shared" si="11"/>
        <v>0</v>
      </c>
      <c r="AI31" s="1130">
        <f t="shared" si="11"/>
        <v>0</v>
      </c>
      <c r="AJ31" s="1120">
        <f t="shared" si="11"/>
        <v>7140</v>
      </c>
      <c r="AK31" s="1120">
        <f t="shared" si="11"/>
        <v>14314</v>
      </c>
      <c r="AL31" s="1120">
        <f t="shared" si="11"/>
        <v>0</v>
      </c>
      <c r="AM31" s="1133">
        <f t="shared" si="11"/>
        <v>0</v>
      </c>
      <c r="AN31" s="1123">
        <f>IF(ISNUMBER(Datos!K31/Datos!J31),Datos!K31/Datos!J31," - ")</f>
        <v>0.96347270236775162</v>
      </c>
      <c r="AO31" s="1123">
        <f>IF(ISNUMBER(FIND("06",Criterios!A8,1)),(IF(ISNUMBER(((Datos!R31/Datos!Q31)*11)/factor_trimestre),((Datos!R31/Datos!Q31)*11)/factor_trimestre," - ")),(IF(ISNUMBER(((Datos!L31/Datos!K31)*11)/factor_trimestre),((Datos!L31/Datos!K31)*11)/factor_trimestre," - ")))</f>
        <v>8.8980773136551345</v>
      </c>
      <c r="AP31" s="1134" t="str">
        <f>IF(ISNUMBER(Datos!CI31/Datos!CJ31),Datos!CI31/Datos!CJ31," - ")</f>
        <v xml:space="preserve"> - </v>
      </c>
      <c r="AQ31" s="1134">
        <f>IF(OR(ISNUMBER(FIND("01",Criterios!A8,1)),ISNUMBER(FIND("02",Criterios!A8,1)),ISNUMBER(FIND("03",Criterios!A8,1)),ISNUMBER(FIND("04",Criterios!A8,1))),(J31-Y31+K31)/(F31-K31),(I31-Y31+K31)/(F31-K31))</f>
        <v>-1.5164182328796716</v>
      </c>
      <c r="AR31" s="1134">
        <f>IF(ISNUMBER((Datos!P31-Datos!Q31+O31)/(Datos!R31-Datos!P31+Datos!Q31-O31)),(Datos!P31-Datos!Q31+O31)/(Datos!R31-Datos!P31+Datos!Q31-O31)," - ")</f>
        <v>-6.9538049542512831E-2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335</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2056.6666666666665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336</v>
      </c>
      <c r="D33" s="385"/>
      <c r="E33" s="719"/>
      <c r="F33" s="276">
        <f>IF(ISNUMBER(STDEV(F8:F30)),STDEV(F8:F30),"-")</f>
        <v>2225.2701280647125</v>
      </c>
      <c r="G33" s="678">
        <f>IF(ISNUMBER(STDEV(G8:G30)),STDEV(G8:G30),"-")</f>
        <v>2171.8104774588414</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1168.5090344692949</v>
      </c>
      <c r="AK33" s="276"/>
      <c r="AL33" s="276">
        <f>IF(ISNUMBER(STDEV(AL8:AL30)),STDEV(AL8:AL30),"-")</f>
        <v>0</v>
      </c>
      <c r="AM33" s="278">
        <f>IF(ISNUMBER(STDEV(AM8:AM30)),STDEV(AM8:AM30),"-")</f>
        <v>0</v>
      </c>
      <c r="AN33" s="664">
        <f>IF(ISNUMBER(STDEV(AN8:AN30)),STDEV(AN8:AN30),"-")</f>
        <v>0.57631186942489621</v>
      </c>
      <c r="AO33" s="665">
        <f>IF(ISNUMBER(STDEV(AO8:AO30)),STDEV(AO8:AO30),"-")</f>
        <v>4.3547316317623928</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333</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334</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uzC4kRCLroijO6N66ftmQi4X5xK+GFN6RblYqBuBwa27Z0f1CL19aGvrB7nK9PJO4rY4N/wF6fSjXKpvdQjkfQ==" saltValue="nOQKKGWUqK6gmqqJJphW3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821</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822</v>
      </c>
      <c r="B4" s="1898" t="s">
        <v>932</v>
      </c>
      <c r="C4" s="1898" t="s">
        <v>823</v>
      </c>
      <c r="D4" s="1898" t="s">
        <v>890</v>
      </c>
      <c r="E4" s="1900" t="s">
        <v>891</v>
      </c>
      <c r="F4" s="1898" t="s">
        <v>824</v>
      </c>
      <c r="G4" s="1900" t="s">
        <v>591</v>
      </c>
      <c r="H4" s="1893" t="s">
        <v>825</v>
      </c>
      <c r="I4" s="1893" t="s">
        <v>826</v>
      </c>
      <c r="J4" s="1893" t="s">
        <v>827</v>
      </c>
      <c r="K4" s="1895" t="s">
        <v>343</v>
      </c>
      <c r="L4" s="1896"/>
      <c r="M4" s="1896"/>
      <c r="N4" s="1897"/>
      <c r="O4" s="1895" t="s">
        <v>586</v>
      </c>
      <c r="P4" s="1896"/>
      <c r="Q4" s="1896"/>
      <c r="R4" s="1897"/>
    </row>
    <row r="5" spans="1:18" ht="27.75" customHeight="1" thickBot="1">
      <c r="A5" s="1899"/>
      <c r="B5" s="1899"/>
      <c r="C5" s="1899"/>
      <c r="D5" s="1899"/>
      <c r="E5" s="1899"/>
      <c r="F5" s="1899"/>
      <c r="G5" s="1899"/>
      <c r="H5" s="1894"/>
      <c r="I5" s="1894"/>
      <c r="J5" s="1894"/>
      <c r="K5" s="1146" t="s">
        <v>587</v>
      </c>
      <c r="L5" s="1146" t="s">
        <v>588</v>
      </c>
      <c r="M5" s="1146" t="s">
        <v>589</v>
      </c>
      <c r="N5" s="1146" t="s">
        <v>590</v>
      </c>
      <c r="O5" s="1147" t="s">
        <v>587</v>
      </c>
      <c r="P5" s="1146" t="s">
        <v>588</v>
      </c>
      <c r="Q5" s="1146" t="s">
        <v>589</v>
      </c>
      <c r="R5" s="1146" t="s">
        <v>590</v>
      </c>
    </row>
  </sheetData>
  <sheetProtection algorithmName="SHA-512" hashValue="1ErxYsnqrvsETgDSEu+n3ED9L1K4vhwwCNBeym2/bkvJg/UxZC1PaFAC/Bf3d704I4EMh6NUvu3sBw9fm5j6Zw==" saltValue="ilTKLAwi3Cqjk4XEnM9J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t="s">
        <v>258</v>
      </c>
      <c r="BO5" s="1608"/>
      <c r="BP5" s="1607" t="s">
        <v>259</v>
      </c>
      <c r="BQ5" s="1608"/>
      <c r="BR5" s="1607" t="s">
        <v>260</v>
      </c>
      <c r="BS5" s="1608"/>
      <c r="BT5" s="1607" t="s">
        <v>261</v>
      </c>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1008</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218</v>
      </c>
      <c r="BO6" s="1605" t="s">
        <v>219</v>
      </c>
      <c r="BP6" s="1605" t="s">
        <v>218</v>
      </c>
      <c r="BQ6" s="1605" t="s">
        <v>219</v>
      </c>
      <c r="BR6" s="1605" t="s">
        <v>218</v>
      </c>
      <c r="BS6" s="1605" t="s">
        <v>219</v>
      </c>
      <c r="BT6" s="1605" t="s">
        <v>218</v>
      </c>
      <c r="BU6" s="1605" t="s">
        <v>219</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 t="s">
        <v>999</v>
      </c>
      <c r="ER8" s="53" t="s">
        <v>1009</v>
      </c>
      <c r="ES8" s="536" t="s">
        <v>1011</v>
      </c>
      <c r="ET8" s="1522" t="s">
        <v>1129</v>
      </c>
      <c r="EU8" s="1522" t="s">
        <v>1130</v>
      </c>
    </row>
    <row r="9" spans="1:151" ht="14.25" customHeight="1">
      <c r="A9" s="20" t="s">
        <v>69</v>
      </c>
      <c r="B9" s="21" t="s">
        <v>513</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WsszvYG/f8mw3+sXdWkd0S5cU/DVrqyKurgU1MJviPyZHX0WUHQJNJNgFgBxaLhbs4otlPd8pdX7X1+NxjPCDw==" saltValue="11RVFhay2EJif8lS/tO7c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SABADELL</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459</v>
      </c>
      <c r="B5" s="297"/>
      <c r="C5" s="1642"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745</v>
      </c>
      <c r="L5" s="1847" t="s">
        <v>700</v>
      </c>
      <c r="M5" s="1877" t="s">
        <v>774</v>
      </c>
      <c r="N5" s="1847" t="s">
        <v>918</v>
      </c>
      <c r="O5" s="1847" t="s">
        <v>877</v>
      </c>
      <c r="P5" s="1847" t="s">
        <v>225</v>
      </c>
      <c r="Q5" s="1880" t="s">
        <v>873</v>
      </c>
      <c r="R5" s="1880" t="s">
        <v>919</v>
      </c>
      <c r="S5" s="1847" t="s">
        <v>777</v>
      </c>
      <c r="T5" s="1880" t="s">
        <v>746</v>
      </c>
      <c r="U5" s="1880" t="s">
        <v>1036</v>
      </c>
      <c r="V5" s="1880" t="s">
        <v>1037</v>
      </c>
      <c r="W5" s="1850" t="s">
        <v>802</v>
      </c>
      <c r="X5" s="1853" t="s">
        <v>747</v>
      </c>
      <c r="Y5" s="1850" t="s">
        <v>748</v>
      </c>
      <c r="Z5" s="1850" t="s">
        <v>749</v>
      </c>
      <c r="AA5" s="1847" t="s">
        <v>878</v>
      </c>
      <c r="AB5" s="1847" t="s">
        <v>884</v>
      </c>
      <c r="AC5" s="1847" t="s">
        <v>239</v>
      </c>
      <c r="AD5" s="1862" t="s">
        <v>237</v>
      </c>
      <c r="AE5" s="1847" t="s">
        <v>879</v>
      </c>
      <c r="AF5" s="1865" t="s">
        <v>880</v>
      </c>
      <c r="AG5" s="1868" t="s">
        <v>709</v>
      </c>
      <c r="AH5" s="1847" t="s">
        <v>710</v>
      </c>
      <c r="AI5" s="1847" t="s">
        <v>800</v>
      </c>
      <c r="AJ5" s="1871" t="s">
        <v>801</v>
      </c>
      <c r="AK5" s="1868" t="s">
        <v>240</v>
      </c>
      <c r="AL5" s="1847" t="s">
        <v>753</v>
      </c>
      <c r="AM5" s="1847" t="s">
        <v>316</v>
      </c>
      <c r="AN5" s="1847" t="s">
        <v>317</v>
      </c>
      <c r="AO5" s="1847" t="s">
        <v>318</v>
      </c>
      <c r="AP5" s="1847" t="s">
        <v>754</v>
      </c>
      <c r="AQ5" s="1847" t="s">
        <v>319</v>
      </c>
      <c r="AR5" s="1847" t="s">
        <v>755</v>
      </c>
      <c r="AS5" s="1847" t="s">
        <v>756</v>
      </c>
      <c r="AT5" s="1847" t="s">
        <v>757</v>
      </c>
      <c r="AU5" s="1847" t="s">
        <v>785</v>
      </c>
      <c r="AV5" s="1847" t="s">
        <v>778</v>
      </c>
      <c r="AW5" s="1847" t="s">
        <v>430</v>
      </c>
      <c r="AX5" s="1847" t="s">
        <v>779</v>
      </c>
      <c r="AY5" s="1847" t="s">
        <v>758</v>
      </c>
      <c r="AZ5" s="1847" t="s">
        <v>708</v>
      </c>
      <c r="BT5" s="1847" t="s">
        <v>1038</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315</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315</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315</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315</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315</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0.24368344121946126</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335</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336</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0.17231021374915451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333</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334</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n4Gkl/sOXaXwrBytVuzuEZhIUBelc5Wu4iaXvEFxtn5iZQ8YUUvOtQDyaP1HL/41Ry9Oknd8i5At+dFHoqtjHw==" saltValue="g5ZHN48vO1oWXqZPi21fag=="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1123</v>
      </c>
    </row>
    <row r="3" spans="2:5" ht="16.5" customHeight="1" thickBot="1">
      <c r="B3" s="1521" t="s">
        <v>1124</v>
      </c>
      <c r="C3" s="1521" t="s">
        <v>1125</v>
      </c>
      <c r="D3" s="1521" t="s">
        <v>1126</v>
      </c>
      <c r="E3" s="1530" t="s">
        <v>1131</v>
      </c>
    </row>
  </sheetData>
  <sheetProtection algorithmName="SHA-512" hashValue="Md+ioXdez0we+GqgDYx/TMuSXGaJMWWW7mNCUfMJDxx4Q7FxzhHXgR+XVo3Sb3TbxymSBvk+5EQsC2Qe870W1g==" saltValue="wpOPiHnWUnE/epzO/x3/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156</v>
      </c>
      <c r="B3" s="440" t="str">
        <f>Criterios!A10 &amp;"  "&amp;Criterios!B10</f>
        <v>Provincias  BARCELONA</v>
      </c>
      <c r="D3" s="437"/>
      <c r="E3" s="437"/>
      <c r="F3" s="437"/>
    </row>
    <row r="4" spans="1:14" ht="13.5" thickBot="1">
      <c r="A4" s="437"/>
      <c r="B4" s="440" t="str">
        <f>Criterios!A11 &amp;"  "&amp;Criterios!B11</f>
        <v>Resumenes por Partidos Judiciales  SABADELL</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997</v>
      </c>
      <c r="L5" s="1546" t="s">
        <v>1060</v>
      </c>
      <c r="M5" s="1546" t="s">
        <v>995</v>
      </c>
      <c r="N5" s="1549" t="s">
        <v>996</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990</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8</v>
      </c>
      <c r="C9" s="452">
        <f>IF(ISNUMBER(IF(J_V="SI",Datos!I9,Datos!I9+Datos!Y9)),IF(J_V="SI",Datos!I9,Datos!I9+Datos!Y9)," - ")</f>
        <v>12246</v>
      </c>
      <c r="D9" s="453">
        <f>IF(ISNUMBER(C9/Datos!BH9),C9/Datos!BH9," - ")</f>
        <v>1530.75</v>
      </c>
      <c r="E9" s="452">
        <f>IF(ISNUMBER(IF(J_V="SI",Datos!J9,Datos!J9+Datos!Z9)),IF(J_V="SI",Datos!J9,Datos!J9+Datos!Z9)," - ")</f>
        <v>12251</v>
      </c>
      <c r="F9" s="453">
        <f>IF(ISNUMBER(E9/B9),E9/B9," - ")</f>
        <v>1531.375</v>
      </c>
      <c r="G9" s="452">
        <f>IF(ISNUMBER(IF(J_V="SI",Datos!K9,Datos!K9+Datos!AA9)),IF(J_V="SI",Datos!K9,Datos!K9+Datos!AA9)," - ")</f>
        <v>11292</v>
      </c>
      <c r="H9" s="453">
        <f>IF(ISNUMBER(G9/B9),G9/B9," - ")</f>
        <v>1411.5</v>
      </c>
      <c r="I9" s="452">
        <f>IF(ISNUMBER(IF(J_V="SI",Datos!L9,Datos!L9+Datos!AB9)),IF(J_V="SI",Datos!L9,Datos!L9+Datos!AB9)," - ")</f>
        <v>13204</v>
      </c>
      <c r="J9" s="453">
        <f>IF(ISNUMBER(I9/B9),I9/B9," - ")</f>
        <v>1650.5</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112</v>
      </c>
      <c r="D10" s="453">
        <f>IF(ISNUMBER(C10/Datos!BH10),C10/Datos!BH10," - ")</f>
        <v>112</v>
      </c>
      <c r="E10" s="452">
        <f>IF(ISNUMBER(Datos!J10),Datos!J10," - ")</f>
        <v>202</v>
      </c>
      <c r="F10" s="453">
        <f>IF(ISNUMBER(E10/B10),E10/B10," - ")</f>
        <v>202</v>
      </c>
      <c r="G10" s="452">
        <f>IF(ISNUMBER(Datos!K10),Datos!K10," - ")</f>
        <v>195</v>
      </c>
      <c r="H10" s="453">
        <f>IF(ISNUMBER(G10/B10),G10/B10," - ")</f>
        <v>195</v>
      </c>
      <c r="I10" s="452">
        <f>IF(ISNUMBER(Datos!L10),Datos!L10," - ")</f>
        <v>119</v>
      </c>
      <c r="J10" s="453">
        <f>IF(ISNUMBER(I10/B10),I10/B10," - ")</f>
        <v>119</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2</v>
      </c>
      <c r="C11" s="452">
        <f>IF(ISNUMBER(IF(J_V="SI",Datos!I11,Datos!I11+Datos!Y11)),IF(J_V="SI",Datos!I11,Datos!I11+Datos!Y11)," - ")</f>
        <v>1357</v>
      </c>
      <c r="D11" s="453">
        <f>IF(ISNUMBER(C11/Datos!BH11),C11/Datos!BH11," - ")</f>
        <v>678.5</v>
      </c>
      <c r="E11" s="452">
        <f>IF(ISNUMBER(IF(J_V="SI",Datos!J11,Datos!J11+Datos!Z11)),IF(J_V="SI",Datos!J11,Datos!J11+Datos!Z11)," - ")</f>
        <v>2775</v>
      </c>
      <c r="F11" s="453">
        <f>IF(ISNUMBER(E11/B11),E11/B11," - ")</f>
        <v>1387.5</v>
      </c>
      <c r="G11" s="452">
        <f>IF(ISNUMBER(IF(J_V="SI",Datos!K11,Datos!K11+Datos!AA11)),IF(J_V="SI",Datos!K11,Datos!K11+Datos!AA11)," - ")</f>
        <v>2880</v>
      </c>
      <c r="H11" s="453">
        <f>IF(ISNUMBER(G11/B11),G11/B11," - ")</f>
        <v>1440</v>
      </c>
      <c r="I11" s="452">
        <f>IF(ISNUMBER(IF(J_V="SI",Datos!L11,Datos!L11+Datos!AB11)),IF(J_V="SI",Datos!L11,Datos!L11+Datos!AB11)," - ")</f>
        <v>1172</v>
      </c>
      <c r="J11" s="453">
        <f>IF(ISNUMBER(I11/B11),I11/B11," - ")</f>
        <v>586</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11</v>
      </c>
      <c r="C14" s="1149">
        <f>SUBTOTAL(9,C8:C13)</f>
        <v>13715</v>
      </c>
      <c r="D14" s="1150" t="str">
        <f>IF(ISNUMBER(C14/Datos!BI14),C14/Datos!BI14," - ")</f>
        <v xml:space="preserve"> - </v>
      </c>
      <c r="E14" s="1149">
        <f>SUBTOTAL(9,E8:E13)</f>
        <v>15228</v>
      </c>
      <c r="F14" s="1150">
        <f>IF(ISNUMBER(E14/B14),E14/B14," - ")</f>
        <v>1384.3636363636363</v>
      </c>
      <c r="G14" s="1149">
        <f>SUBTOTAL(9,G8:G13)</f>
        <v>14367</v>
      </c>
      <c r="H14" s="1150">
        <f>IF(ISNUMBER(G14/B14),G14/B14," - ")</f>
        <v>1306.090909090909</v>
      </c>
      <c r="I14" s="1149">
        <f>SUBTOTAL(9,I8:I13)</f>
        <v>14495</v>
      </c>
      <c r="J14" s="1150">
        <f>IF(ISNUMBER(I14/B14),I14/B14," - ")</f>
        <v>1317.7272727272727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5</v>
      </c>
      <c r="C16" s="452">
        <f>IF(ISNUMBER(IF(D_I="SI",Datos!I16,Datos!I16+Datos!AC16)),IF(D_I="SI",Datos!I16,Datos!I16+Datos!AC16)," - ")</f>
        <v>4183</v>
      </c>
      <c r="D16" s="453">
        <f>IF(ISNUMBER(C16/Datos!BH16),C16/Datos!BH16," - ")</f>
        <v>836.6</v>
      </c>
      <c r="E16" s="452">
        <f>IF(ISNUMBER(IF(D_I="SI",Datos!J16,Datos!J16+Datos!AD16)),IF(D_I="SI",Datos!J16,Datos!J16+Datos!AD16)," - ")</f>
        <v>11661</v>
      </c>
      <c r="F16" s="453">
        <f>IF(ISNUMBER(E16/B16),E16/B16," - ")</f>
        <v>2332.1999999999998</v>
      </c>
      <c r="G16" s="452">
        <f>IF(ISNUMBER(IF(D_I="SI",Datos!K16,Datos!K16+Datos!AE16)),IF(D_I="SI",Datos!K16,Datos!K16+Datos!AE16)," - ")</f>
        <v>11247</v>
      </c>
      <c r="H16" s="453">
        <f>IF(ISNUMBER(G16/B16),G16/B16," - ")</f>
        <v>2249.4</v>
      </c>
      <c r="I16" s="452">
        <f>IF(ISNUMBER(IF(D_I="SI",Datos!L16,Datos!L16+Datos!AF16)),IF(D_I="SI",Datos!L16,Datos!L16+Datos!AF16)," - ")</f>
        <v>4688</v>
      </c>
      <c r="J16" s="453">
        <f>IF(ISNUMBER(I16/B16),I16/B16," - ")</f>
        <v>937.6</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360</v>
      </c>
      <c r="D18" s="453">
        <f>IF(ISNUMBER(C18/Datos!BH18),C18/Datos!BH18," - ")</f>
        <v>360</v>
      </c>
      <c r="E18" s="452">
        <f>IF(ISNUMBER(IF(D_I="SI",Datos!J18,Datos!J18+Datos!AD18)),IF(D_I="SI",Datos!J18,Datos!J18+Datos!AD18)," - ")</f>
        <v>1051</v>
      </c>
      <c r="F18" s="453">
        <f>IF(ISNUMBER(E18/B18),E18/B18," - ")</f>
        <v>1051</v>
      </c>
      <c r="G18" s="452">
        <f>IF(ISNUMBER(IF(D_I="SI",Datos!K18,Datos!K18+Datos!AE18)),IF(D_I="SI",Datos!K18,Datos!K18+Datos!AE18)," - ")</f>
        <v>1189</v>
      </c>
      <c r="H18" s="453">
        <f>IF(ISNUMBER(G18/B18),G18/B18," - ")</f>
        <v>1189</v>
      </c>
      <c r="I18" s="452">
        <f>IF(ISNUMBER(IF(D_I="SI",Datos!L18,Datos!L18+Datos!AF18)),IF(D_I="SI",Datos!L18,Datos!L18+Datos!AF18)," - ")</f>
        <v>223</v>
      </c>
      <c r="J18" s="453">
        <f>IF(ISNUMBER(I18/B18),I18/B18," - ")</f>
        <v>223</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4</v>
      </c>
      <c r="C21" s="452">
        <f>IF(ISNUMBER(Datos!I21),Datos!I21," - ")</f>
        <v>1556</v>
      </c>
      <c r="D21" s="453">
        <f>IF(ISNUMBER(C21/Datos!BH21),C21/Datos!BH21," - ")</f>
        <v>389</v>
      </c>
      <c r="E21" s="452">
        <f>IF(ISNUMBER(Datos!J21),Datos!J21," - ")</f>
        <v>1394</v>
      </c>
      <c r="F21" s="453">
        <f>IF(ISNUMBER(E21/B21),E21/B21," - ")</f>
        <v>348.5</v>
      </c>
      <c r="G21" s="452">
        <f>IF(ISNUMBER(Datos!K21),Datos!K21," - ")</f>
        <v>1408</v>
      </c>
      <c r="H21" s="453">
        <f>IF(ISNUMBER(G21/B21),G21/B21," - ")</f>
        <v>352</v>
      </c>
      <c r="I21" s="452">
        <f>IF(ISNUMBER(Datos!L21),Datos!L21," - ")</f>
        <v>1845</v>
      </c>
      <c r="J21" s="453">
        <f>IF(ISNUMBER(I21/B21),I21/B21," - ")</f>
        <v>461.25</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10</v>
      </c>
      <c r="C23" s="1149">
        <f>SUBTOTAL(9,C15:C22)</f>
        <v>6099</v>
      </c>
      <c r="D23" s="1150" t="str">
        <f>IF(ISNUMBER(C23/Datos!BI23),C23/Datos!BI23," - ")</f>
        <v xml:space="preserve"> - </v>
      </c>
      <c r="E23" s="1149">
        <f>SUBTOTAL(9,E15:E22)</f>
        <v>14106</v>
      </c>
      <c r="F23" s="1150">
        <f>IF(ISNUMBER(E23/B23),E23/B23," - ")</f>
        <v>1410.6</v>
      </c>
      <c r="G23" s="1149">
        <f>SUBTOTAL(9,G15:G22)</f>
        <v>13844</v>
      </c>
      <c r="H23" s="1150">
        <f>IF(ISNUMBER(G23/B23),G23/B23," - ")</f>
        <v>1384.4</v>
      </c>
      <c r="I23" s="1149">
        <f>SUBTOTAL(9,I15:I22)</f>
        <v>6756</v>
      </c>
      <c r="J23" s="1150">
        <f>IF(ISNUMBER(I23/B23),I23/B23," - ")</f>
        <v>675.6</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3</v>
      </c>
      <c r="C28" s="452">
        <f>IF(ISNUMBER(Datos!I28),Datos!I28," - ")</f>
        <v>3044</v>
      </c>
      <c r="D28" s="453">
        <f>IF(ISNUMBER(C28/Datos!BH28),C28/Datos!BH28," - ")</f>
        <v>1014.6666666666666</v>
      </c>
      <c r="E28" s="452">
        <f>IF(ISNUMBER(Datos!J28),Datos!J28," - ")</f>
        <v>2780</v>
      </c>
      <c r="F28" s="453">
        <f>IF(ISNUMBER(E28/B28),E28/B28," - ")</f>
        <v>926.66666666666663</v>
      </c>
      <c r="G28" s="452">
        <f>IF(ISNUMBER(Datos!K28),Datos!K28," - ")</f>
        <v>2775</v>
      </c>
      <c r="H28" s="453">
        <f>IF(ISNUMBER(G28/B28),G28/B28," - ")</f>
        <v>925</v>
      </c>
      <c r="I28" s="452">
        <f>IF(ISNUMBER(Datos!L28),Datos!L28," - ")</f>
        <v>3018</v>
      </c>
      <c r="J28" s="453">
        <f>IF(ISNUMBER(I28/B28),I28/B28," - ")</f>
        <v>1006</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3</v>
      </c>
      <c r="C30" s="1149">
        <f>SUBTOTAL(9,C28:C29)</f>
        <v>3044</v>
      </c>
      <c r="D30" s="1150" t="str">
        <f>IF(ISNUMBER(C30/Datos!BI30),C30/Datos!BI30," - ")</f>
        <v xml:space="preserve"> - </v>
      </c>
      <c r="E30" s="1149">
        <f>SUBTOTAL(9,E28:E29)</f>
        <v>2780</v>
      </c>
      <c r="F30" s="1150">
        <f>IF(ISNUMBER(E30/B30),E30/B30," - ")</f>
        <v>926.66666666666663</v>
      </c>
      <c r="G30" s="1149">
        <f>SUBTOTAL(9,G28:G29)</f>
        <v>2775</v>
      </c>
      <c r="H30" s="1150">
        <f>IF(ISNUMBER(G30/B30),G30/B30," - ")</f>
        <v>925</v>
      </c>
      <c r="I30" s="1149">
        <f>SUBTOTAL(9,I28:I29)</f>
        <v>3018</v>
      </c>
      <c r="J30" s="1150">
        <f>IF(ISNUMBER(I30/B30),I30/B30," - ")</f>
        <v>1006</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23</v>
      </c>
      <c r="C31" s="1087">
        <f>SUBTOTAL(9,C9:C30)</f>
        <v>22858</v>
      </c>
      <c r="D31" s="1088" t="str">
        <f>IF(ISNUMBER(C31/Datos!BI31),C31/Datos!BI31," - ")</f>
        <v xml:space="preserve"> - </v>
      </c>
      <c r="E31" s="1087">
        <f>SUBTOTAL(9,E9:E30)</f>
        <v>32114</v>
      </c>
      <c r="F31" s="1088">
        <f>IF(ISNUMBER(E31/B31),E31/B31," - ")</f>
        <v>1396.2608695652175</v>
      </c>
      <c r="G31" s="1087">
        <f>SUBTOTAL(9,G9:G30)</f>
        <v>30986</v>
      </c>
      <c r="H31" s="1088">
        <f>IF(ISNUMBER(G31/B31),G31/B31," - ")</f>
        <v>1347.2173913043478</v>
      </c>
      <c r="I31" s="1087">
        <f>SUBTOTAL(9,I9:I30)</f>
        <v>24269</v>
      </c>
      <c r="J31" s="1088">
        <f>IF(ISNUMBER(I31/B31),I31/B31," - ")</f>
        <v>1055.1739130434783</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QmFG/ZyImI+3TiXii41G0unnnEcmWBl6do1ExUKaZXqi43E+a+3K+2v0sb5Ha6d2Na4MWV2O5FO8Jo8ZRe2vsw==" saltValue="VVDurBPVTKIzTh4q3IjC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SABADELL</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459</v>
      </c>
      <c r="B5" s="297"/>
      <c r="C5" s="1642" t="str">
        <f>"Año:  " &amp;Criterios!B$5 &amp; "          Trimestre   " &amp;Criterios!D$5 &amp; " al " &amp;Criterios!D$6</f>
        <v>Año:  2021          Trimestre   1 al 4</v>
      </c>
      <c r="D5" s="1847" t="s">
        <v>539</v>
      </c>
      <c r="E5" s="1847" t="s">
        <v>743</v>
      </c>
      <c r="F5" s="1885" t="s">
        <v>521</v>
      </c>
      <c r="G5" s="1847" t="s">
        <v>169</v>
      </c>
      <c r="H5" s="1847" t="s">
        <v>892</v>
      </c>
      <c r="I5" s="1847" t="s">
        <v>893</v>
      </c>
      <c r="J5" s="1847" t="s">
        <v>896</v>
      </c>
      <c r="K5" s="1847" t="s">
        <v>897</v>
      </c>
      <c r="L5" s="1847" t="s">
        <v>774</v>
      </c>
      <c r="M5" s="1847" t="s">
        <v>918</v>
      </c>
      <c r="N5" s="1847" t="s">
        <v>898</v>
      </c>
      <c r="O5" s="1847" t="s">
        <v>894</v>
      </c>
      <c r="P5" s="1847" t="s">
        <v>225</v>
      </c>
      <c r="Q5" s="1847" t="s">
        <v>873</v>
      </c>
      <c r="R5" s="1847" t="s">
        <v>919</v>
      </c>
      <c r="S5" s="1847" t="str">
        <f>"Ingreso Computable 2003" &amp; IF(OR(EXACT(LEFT(boletin,2),"04"),EXACT(LEFT(boletin,2),"14"),EXACT(LEFT(boletin,2),"17"))," (Civil + Penal)","")</f>
        <v>Ingreso Computable 2003</v>
      </c>
      <c r="T5" s="1847" t="s">
        <v>895</v>
      </c>
      <c r="U5" s="1880" t="str">
        <f>"% Ingreso Computable 2003" &amp; IF(OR(EXACT(LEFT(boletin,2),"04"),EXACT(LEFT(boletin,2),"14"),EXACT(LEFT(boletin,2),"17"))," (Civil + Penal)","")</f>
        <v>% Ingreso Computable 2003</v>
      </c>
      <c r="V5" s="1880" t="s">
        <v>899</v>
      </c>
      <c r="W5" s="1847" t="s">
        <v>1030</v>
      </c>
      <c r="X5" s="1847" t="s">
        <v>1031</v>
      </c>
      <c r="Y5" s="1859" t="s">
        <v>864</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900</v>
      </c>
      <c r="AC5" s="1909" t="s">
        <v>901</v>
      </c>
      <c r="AD5" s="1909" t="s">
        <v>902</v>
      </c>
      <c r="AE5" s="1909" t="s">
        <v>903</v>
      </c>
      <c r="AF5" s="1847" t="s">
        <v>904</v>
      </c>
      <c r="AG5" s="1847" t="s">
        <v>905</v>
      </c>
      <c r="AH5" s="1847" t="s">
        <v>906</v>
      </c>
      <c r="AI5" s="1847" t="s">
        <v>907</v>
      </c>
      <c r="AJ5" s="1847" t="s">
        <v>239</v>
      </c>
      <c r="AK5" s="1868" t="s">
        <v>709</v>
      </c>
      <c r="AL5" s="1868" t="s">
        <v>240</v>
      </c>
      <c r="AM5" s="1847" t="s">
        <v>753</v>
      </c>
      <c r="AN5" s="1847" t="s">
        <v>316</v>
      </c>
      <c r="AO5" s="1847" t="s">
        <v>317</v>
      </c>
      <c r="AP5" s="1847" t="s">
        <v>908</v>
      </c>
      <c r="AQ5" s="1847" t="s">
        <v>909</v>
      </c>
      <c r="AR5" s="1847" t="s">
        <v>910</v>
      </c>
      <c r="AS5" s="1847" t="s">
        <v>911</v>
      </c>
      <c r="AT5" s="1847" t="s">
        <v>912</v>
      </c>
      <c r="AU5" s="1847" t="s">
        <v>913</v>
      </c>
      <c r="AV5" s="1847" t="s">
        <v>914</v>
      </c>
      <c r="AW5" s="1847" t="s">
        <v>915</v>
      </c>
      <c r="AX5" s="1847" t="s">
        <v>430</v>
      </c>
      <c r="AY5" s="1847" t="s">
        <v>916</v>
      </c>
      <c r="AZ5" s="1847" t="s">
        <v>917</v>
      </c>
      <c r="BA5" s="1847" t="s">
        <v>708</v>
      </c>
      <c r="BB5" s="1718" t="s">
        <v>924</v>
      </c>
      <c r="BC5" s="1718" t="s">
        <v>925</v>
      </c>
      <c r="BD5" s="1885" t="s">
        <v>926</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8</v>
      </c>
      <c r="B9" s="749" t="s">
        <v>315</v>
      </c>
      <c r="C9" s="770" t="str">
        <f>Datos!A9</f>
        <v xml:space="preserve">Jdos. 1ª Instancia   </v>
      </c>
      <c r="D9" s="597"/>
      <c r="E9" s="907">
        <f>IF(ISNUMBER(Datos!AQ9),Datos!AQ9," - ")</f>
        <v>8</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315</v>
      </c>
      <c r="C10" s="751" t="str">
        <f>Datos!A10</f>
        <v>Jdos. Violencia contra la mujer</v>
      </c>
      <c r="D10" s="605"/>
      <c r="E10" s="907">
        <f>IF(ISNUMBER(Datos!AQ10),Datos!AQ10," - ")</f>
        <v>1</v>
      </c>
      <c r="F10" s="908">
        <f>IF(ISNUMBER(Datos!L10+Datos!K10-Datos!J10),Datos!L10+Datos!K10-Datos!J10," - ")</f>
        <v>112</v>
      </c>
      <c r="G10" s="909">
        <f>IF(ISNUMBER(Datos!I10),Datos!I10," - ")</f>
        <v>112</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195</v>
      </c>
      <c r="AC10" s="908" t="str">
        <f>IF(ISNUMBER(IF(D_I="SI",DatosP!K18,DatosP!K18+DatosP!AE18)),IF(D_I="SI",DatosP!K18,DatosP!K18+DatosP!AE18)," - ")</f>
        <v xml:space="preserve"> - </v>
      </c>
      <c r="AD10" s="910"/>
      <c r="AE10" s="910"/>
      <c r="AF10" s="913">
        <f>IF(ISNUMBER(Datos!L10),Datos!L10,"-")</f>
        <v>119</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70</v>
      </c>
      <c r="AM10" s="917">
        <f>IF(ISNUMBER(Datos!N10+DatosP!N18),Datos!N10+DatosP!N18," - ")</f>
        <v>60</v>
      </c>
      <c r="AN10" s="917">
        <f>IF(ISNUMBER(Datos!BW10+DatosP!BW18),Datos!BW10+DatosP!BW18," - ")</f>
        <v>0</v>
      </c>
      <c r="AO10" s="918">
        <f>IF(ISNUMBER(Datos!BX10+DatosP!BX18),Datos!BX10+DatosP!BX18," - ")</f>
        <v>0</v>
      </c>
      <c r="AP10" s="920">
        <f>IF(ISNUMBER(((Datos!L10/Datos!K10)*11)/factor_trimestre),((Datos!L10/Datos!K10)*11)/factor_trimestre," - ")</f>
        <v>6.7128205128205138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2</v>
      </c>
      <c r="B11" s="750" t="s">
        <v>315</v>
      </c>
      <c r="C11" s="751" t="str">
        <f>Datos!A11</f>
        <v xml:space="preserve">Jdos. Familia                                   </v>
      </c>
      <c r="D11" s="605"/>
      <c r="E11" s="907">
        <f>IF(ISNUMBER(Datos!AQ11),Datos!AQ11," - ")</f>
        <v>2</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315</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315</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11</v>
      </c>
      <c r="F14" s="1261">
        <f t="shared" si="0"/>
        <v>112</v>
      </c>
      <c r="G14" s="1261">
        <f t="shared" si="0"/>
        <v>112</v>
      </c>
      <c r="H14" s="1261">
        <f t="shared" si="0"/>
        <v>0</v>
      </c>
      <c r="I14" s="1263">
        <f t="shared" si="0"/>
        <v>0</v>
      </c>
      <c r="J14" s="1262">
        <f t="shared" si="0"/>
        <v>0</v>
      </c>
      <c r="K14" s="1262">
        <f t="shared" si="0"/>
        <v>0</v>
      </c>
      <c r="L14" s="1264">
        <f t="shared" si="0"/>
        <v>0</v>
      </c>
      <c r="M14" s="1264">
        <f t="shared" si="0"/>
        <v>0</v>
      </c>
      <c r="N14" s="1262">
        <f t="shared" si="0"/>
        <v>44</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195</v>
      </c>
      <c r="AC14" s="1262">
        <f t="shared" si="1"/>
        <v>0</v>
      </c>
      <c r="AD14" s="1262">
        <f t="shared" si="1"/>
        <v>0</v>
      </c>
      <c r="AE14" s="1262">
        <f t="shared" si="1"/>
        <v>0</v>
      </c>
      <c r="AF14" s="1262">
        <f t="shared" si="1"/>
        <v>119</v>
      </c>
      <c r="AG14" s="1262">
        <f t="shared" si="1"/>
        <v>0</v>
      </c>
      <c r="AH14" s="1262">
        <f t="shared" si="1"/>
        <v>0</v>
      </c>
      <c r="AI14" s="1262">
        <f t="shared" si="1"/>
        <v>0</v>
      </c>
      <c r="AJ14" s="1262">
        <f t="shared" si="1"/>
        <v>0</v>
      </c>
      <c r="AK14" s="1262">
        <f t="shared" si="1"/>
        <v>0</v>
      </c>
      <c r="AL14" s="1262">
        <f t="shared" si="1"/>
        <v>70</v>
      </c>
      <c r="AM14" s="1262">
        <f t="shared" si="1"/>
        <v>60</v>
      </c>
      <c r="AN14" s="1262">
        <f t="shared" si="1"/>
        <v>0</v>
      </c>
      <c r="AO14" s="1262">
        <f t="shared" si="1"/>
        <v>0</v>
      </c>
      <c r="AP14" s="1267">
        <f>IF(ISNUMBER(((Datos!L14/Datos!K14)*11)/factor_trimestre),((Datos!L14/Datos!K14)*11)/factor_trimestre," - ")</f>
        <v>12.021434651396733</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-1.7410714285714286</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5</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4</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5.3681017047096216</v>
      </c>
      <c r="AQ23" s="1267">
        <f>IF(ISNUMBER(((Datos!M23/Datos!L23)*11)/factor_trimestre),((Datos!M23/Datos!L23)*11)/factor_trimestre," - ")</f>
        <v>4.5849615156897574</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-0.1312476860422066</v>
      </c>
      <c r="AW23" s="1270">
        <f>IF(ISNUMBER((Datos!Q23-Datos!R23)/(Datos!S23-Datos!Q23+Datos!R23)),(Datos!Q23-Datos!R23)/(Datos!S23-Datos!Q23+Datos!R23)," - ")</f>
        <v>-0.27368105515587532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759</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3</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11.963243243243243</v>
      </c>
      <c r="AQ30" s="1267">
        <f>IF(ISNUMBER(((Datos!M30/Datos!L30)*11)/factor_trimestre),((Datos!M30/Datos!L30)*11)/factor_trimestre," - ")</f>
        <v>2.9996686547382372</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-0.37878787878787878</v>
      </c>
      <c r="AW30" s="1270">
        <f>IF(ISNUMBER((Datos!Q30-Datos!R30)/(Datos!S30-Datos!Q30+Datos!R30)),(Datos!Q30-Datos!R30)/(Datos!S30-Datos!Q30+Datos!R30)," - ")</f>
        <v>4.7996041563582385E-2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11</v>
      </c>
      <c r="F31" s="1283">
        <f t="shared" si="8"/>
        <v>112</v>
      </c>
      <c r="G31" s="1283">
        <f t="shared" si="8"/>
        <v>112</v>
      </c>
      <c r="H31" s="1283">
        <f t="shared" si="8"/>
        <v>0</v>
      </c>
      <c r="I31" s="1284">
        <f t="shared" si="8"/>
        <v>0</v>
      </c>
      <c r="J31" s="1285">
        <f t="shared" si="8"/>
        <v>0</v>
      </c>
      <c r="K31" s="1285">
        <f t="shared" si="8"/>
        <v>0</v>
      </c>
      <c r="L31" s="1285">
        <f t="shared" si="8"/>
        <v>0</v>
      </c>
      <c r="M31" s="1285">
        <f t="shared" si="8"/>
        <v>0</v>
      </c>
      <c r="N31" s="1284">
        <f t="shared" si="8"/>
        <v>44</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195</v>
      </c>
      <c r="AC31" s="1289">
        <f t="shared" si="9"/>
        <v>0</v>
      </c>
      <c r="AD31" s="1289">
        <f t="shared" si="9"/>
        <v>0</v>
      </c>
      <c r="AE31" s="1289">
        <f t="shared" si="9"/>
        <v>0</v>
      </c>
      <c r="AF31" s="1290">
        <f t="shared" si="9"/>
        <v>119</v>
      </c>
      <c r="AG31" s="1290">
        <f t="shared" si="9"/>
        <v>0</v>
      </c>
      <c r="AH31" s="1290">
        <f t="shared" si="9"/>
        <v>0</v>
      </c>
      <c r="AI31" s="1290">
        <f t="shared" si="9"/>
        <v>0</v>
      </c>
      <c r="AJ31" s="1291">
        <f t="shared" si="9"/>
        <v>0</v>
      </c>
      <c r="AK31" s="1291">
        <f t="shared" si="9"/>
        <v>0</v>
      </c>
      <c r="AL31" s="1283">
        <f t="shared" si="9"/>
        <v>70</v>
      </c>
      <c r="AM31" s="1283">
        <f t="shared" si="9"/>
        <v>60</v>
      </c>
      <c r="AN31" s="1283">
        <f t="shared" si="9"/>
        <v>0</v>
      </c>
      <c r="AO31" s="1283">
        <f t="shared" si="9"/>
        <v>0</v>
      </c>
      <c r="AP31" s="1283">
        <f>IF(ISNUMBER(((Datos!L31/Datos!K31)*11)/factor_trimestre),((Datos!L31/Datos!K31)*11)/factor_trimestre," - ")</f>
        <v>8.8980773136551345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-1.7410714285714286</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-6.9538049542512831E-2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335</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44.8</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336</v>
      </c>
      <c r="D33" s="1007"/>
      <c r="E33" s="1008">
        <f>IF(ISNUMBER(STDEV(E8:E30)),STDEV(E8:E30),"-")</f>
        <v>4.1264728010466492</v>
      </c>
      <c r="F33" s="1009">
        <f>IF(ISNUMBER(STDEV(F8:F30)),STDEV(F8:F30),"-")</f>
        <v>61.344926440578604</v>
      </c>
      <c r="G33" s="1010">
        <f>IF(ISNUMBER(STDEV(G8:G30)),STDEV(G8:G30),"-")</f>
        <v>61.344926440578604</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106.80589871350739</v>
      </c>
      <c r="AC33" s="1011">
        <f>IF(ISNUMBER(STDEV(AC8:AC30)),STDEV(AC8:AC30),"-")</f>
        <v>0</v>
      </c>
      <c r="AD33" s="1014"/>
      <c r="AE33" s="1014"/>
      <c r="AF33" s="1014"/>
      <c r="AG33" s="1014"/>
      <c r="AH33" s="1014"/>
      <c r="AI33" s="1014"/>
      <c r="AJ33" s="1015">
        <f>IF(ISNUMBER(STDEV(AJ8:AJ30)),STDEV(AJ8:AJ30),"-")</f>
        <v>0</v>
      </c>
      <c r="AK33" s="1017"/>
      <c r="AL33" s="1009">
        <f>IF(ISNUMBER(STDEV(AL8:AL30)),STDEV(AL8:AL30),"-")</f>
        <v>38.340579025361627</v>
      </c>
      <c r="AM33" s="1009"/>
      <c r="AN33" s="1009">
        <f>IF(ISNUMBER(STDEV(AN8:AN30)),STDEV(AN8:AN30),"-")</f>
        <v>0</v>
      </c>
      <c r="AO33" s="1015">
        <f>IF(ISNUMBER(STDEV(AO8:AO30)),STDEV(AO8:AO30),"-")</f>
        <v>0</v>
      </c>
      <c r="AP33" s="1068">
        <f>IF(ISNUMBER(STDEV(AP8:AP30)),STDEV(AP8:AP30),"-")</f>
        <v>3.4799749645419533</v>
      </c>
      <c r="AQ33" s="1068">
        <f>IF(ISNUMBER(STDEV(AQ8:AQ30)),STDEV(AQ8:AQ30),"-")</f>
        <v>1.1209713321454429</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539</v>
      </c>
      <c r="AU34" s="1025" t="s">
        <v>539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333</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334</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R3a2Y/Bg2dcCqP2jiOdv3pfBbgQAOchpjgUneCE/8FtMzZZsxukheEFKX6tHAShIE8GW3ZRZ1gIBm7CPX6mGSg==" saltValue="kUbrX+yz5nJP7OznpDtTI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276</v>
      </c>
      <c r="B3" s="440" t="str">
        <f>Criterios!A10 &amp;"  "&amp;Criterios!B10</f>
        <v>Provincias  BARCELONA</v>
      </c>
      <c r="C3" s="464"/>
      <c r="F3" s="437"/>
      <c r="G3" s="437"/>
      <c r="H3" s="437"/>
    </row>
    <row r="4" spans="1:15" ht="13.5" thickBot="1">
      <c r="A4" s="437"/>
      <c r="B4" s="440" t="str">
        <f>Criterios!A11 &amp;"  "&amp;Criterios!B11</f>
        <v>Resumenes por Partidos Judiciales  SABADELL</v>
      </c>
      <c r="C4" s="437"/>
      <c r="E4" s="437"/>
      <c r="F4" s="437"/>
      <c r="G4" s="437"/>
      <c r="H4" s="437"/>
    </row>
    <row r="5" spans="1:15" ht="15.75" customHeight="1">
      <c r="A5" s="1565" t="str">
        <f>"Año:  " &amp;Criterios!B5</f>
        <v>Año:  2021</v>
      </c>
      <c r="B5" s="1555" t="s">
        <v>263</v>
      </c>
      <c r="C5" s="1568"/>
      <c r="D5" s="1555" t="s">
        <v>280</v>
      </c>
      <c r="E5" s="1573"/>
      <c r="F5" s="1568"/>
      <c r="G5" s="1555" t="s">
        <v>265</v>
      </c>
      <c r="H5" s="1556"/>
      <c r="I5" s="1555" t="s">
        <v>266</v>
      </c>
      <c r="J5" s="1556"/>
      <c r="K5" s="1555" t="s">
        <v>267</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8</v>
      </c>
      <c r="D9" s="452">
        <f>Datos!BK9</f>
        <v>0</v>
      </c>
      <c r="E9" s="452">
        <f>Datos!AQ9</f>
        <v>8</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2</v>
      </c>
      <c r="D11" s="452">
        <f>Datos!BK11</f>
        <v>0</v>
      </c>
      <c r="E11" s="452">
        <f>Datos!AQ11</f>
        <v>2</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5</v>
      </c>
      <c r="D16" s="452">
        <f>Datos!BK16</f>
        <v>0</v>
      </c>
      <c r="E16" s="452">
        <f>Datos!AQ16</f>
        <v>5</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4</v>
      </c>
      <c r="D21" s="452">
        <f>Datos!BK21</f>
        <v>0</v>
      </c>
      <c r="E21" s="452">
        <f>Datos!AQ21</f>
        <v>4</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3</v>
      </c>
      <c r="D28" s="452">
        <f>Datos!BK28</f>
        <v>0</v>
      </c>
      <c r="E28" s="452">
        <f>Datos!AQ28</f>
        <v>3</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xA/iZ3RsHkfL4cjuUWWNHJlS76CSrEy4z0zt+E8zvnocImXdAVyAeBJLU1NBPhGsF7gIWHuQozJSBSiJCUpiXw==" saltValue="8W1f+NWwvkmedSq4Ebwo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SABADELL</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293</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294</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8</v>
      </c>
      <c r="C9" s="459">
        <f>Datos!AQ9</f>
        <v>8</v>
      </c>
      <c r="D9" s="452">
        <f>IF(ISNUMBER(Datos!M9),Datos!M9," - ")</f>
        <v>2407</v>
      </c>
      <c r="E9" s="453">
        <f t="shared" ref="E9:E14" si="0">IF(ISNUMBER(D9/B9),D9/B9," - ")</f>
        <v>300.875</v>
      </c>
      <c r="F9" s="452">
        <f>IF(ISNUMBER(Datos!N9),Datos!N9," - ")</f>
        <v>5034</v>
      </c>
      <c r="G9" s="453">
        <f t="shared" ref="G9:G14" si="1">IF(ISNUMBER(F9/B9),F9/B9," - ")</f>
        <v>629.25</v>
      </c>
      <c r="H9" s="452">
        <f>IF(ISNUMBER(Datos!O9),Datos!O9," - ")</f>
        <v>5418</v>
      </c>
      <c r="I9" s="453">
        <f>IF(ISNUMBER(H9/B9),H9/B9," - ")</f>
        <v>677.25</v>
      </c>
    </row>
    <row r="10" spans="1:9">
      <c r="A10" s="451" t="str">
        <f>Datos!A10</f>
        <v>Jdos. Violencia contra la mujer</v>
      </c>
      <c r="B10" s="481">
        <f>Datos!AO10</f>
        <v>1</v>
      </c>
      <c r="C10" s="459">
        <f>Datos!AQ10</f>
        <v>1</v>
      </c>
      <c r="D10" s="452">
        <f>IF(ISNUMBER(Datos!M10),Datos!M10," - ")</f>
        <v>70</v>
      </c>
      <c r="E10" s="453">
        <f>IF(ISNUMBER(D10/B10),D10/B10," - ")</f>
        <v>70</v>
      </c>
      <c r="F10" s="452">
        <f>IF(ISNUMBER(Datos!N10),Datos!N10," - ")</f>
        <v>60</v>
      </c>
      <c r="G10" s="453">
        <f>IF(ISNUMBER(F10/B10),F10/B10," - ")</f>
        <v>60</v>
      </c>
      <c r="H10" s="452">
        <f>IF(ISNUMBER(Datos!O10),Datos!O10," - ")</f>
        <v>31</v>
      </c>
      <c r="I10" s="453">
        <f t="shared" ref="I10:I13" si="2">IF(ISNUMBER(H10/B10),H10/B10," - ")</f>
        <v>31</v>
      </c>
    </row>
    <row r="11" spans="1:9">
      <c r="A11" s="451" t="str">
        <f>Datos!A11</f>
        <v xml:space="preserve">Jdos. Familia                                   </v>
      </c>
      <c r="B11" s="481">
        <f>Datos!AO11</f>
        <v>2</v>
      </c>
      <c r="C11" s="459">
        <f>Datos!AQ11</f>
        <v>2</v>
      </c>
      <c r="D11" s="452">
        <f>IF(ISNUMBER(Datos!M11),Datos!M11," - ")</f>
        <v>1024</v>
      </c>
      <c r="E11" s="453">
        <f t="shared" si="0"/>
        <v>512</v>
      </c>
      <c r="F11" s="452">
        <f>IF(ISNUMBER(Datos!N11),Datos!N11," - ")</f>
        <v>1205</v>
      </c>
      <c r="G11" s="453">
        <f t="shared" si="1"/>
        <v>602.5</v>
      </c>
      <c r="H11" s="452">
        <f>IF(ISNUMBER(Datos!O11),Datos!O11," - ")</f>
        <v>694</v>
      </c>
      <c r="I11" s="453">
        <f t="shared" si="2"/>
        <v>347</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11</v>
      </c>
      <c r="C14" s="1151">
        <f>Datos!AR14</f>
        <v>11</v>
      </c>
      <c r="D14" s="1149">
        <f>SUBTOTAL(9,D9:D13)</f>
        <v>3501</v>
      </c>
      <c r="E14" s="1150">
        <f t="shared" si="0"/>
        <v>318.27272727272725</v>
      </c>
      <c r="F14" s="1149">
        <f>SUBTOTAL(9,F9:F13)</f>
        <v>6299</v>
      </c>
      <c r="G14" s="1150">
        <f t="shared" si="1"/>
        <v>572.63636363636363</v>
      </c>
      <c r="H14" s="1149">
        <f>SUBTOTAL(9,H9:H13)</f>
        <v>6143</v>
      </c>
      <c r="I14" s="1150">
        <f>IF(ISNUMBER(H14/B14),H14/B14," - ")</f>
        <v>558.4545454545455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5</v>
      </c>
      <c r="C16" s="482">
        <f>Datos!AQ16</f>
        <v>5</v>
      </c>
      <c r="D16" s="452">
        <f>IF(ISNUMBER(Datos!M16),Datos!M16," - ")</f>
        <v>1487</v>
      </c>
      <c r="E16" s="453">
        <f t="shared" ref="E16:E23" si="3">IF(ISNUMBER(D16/B16),D16/B16," - ")</f>
        <v>297.39999999999998</v>
      </c>
      <c r="F16" s="452">
        <f>IF(ISNUMBER(Datos!N16),Datos!N16," - ")</f>
        <v>7010</v>
      </c>
      <c r="G16" s="453">
        <f t="shared" ref="G16:G23" si="4">IF(ISNUMBER(F16/B16),F16/B16," - ")</f>
        <v>1402</v>
      </c>
      <c r="H16" s="452">
        <f>IF(ISNUMBER(Datos!O16),Datos!O16," - ")</f>
        <v>147</v>
      </c>
      <c r="I16" s="453">
        <f t="shared" ref="I16:I22" si="5">IF(ISNUMBER(H16/B16),H16/B16," - ")</f>
        <v>29.4</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1</v>
      </c>
      <c r="D18" s="452">
        <f>IF(ISNUMBER(Datos!M18),Datos!M18," - ")</f>
        <v>69</v>
      </c>
      <c r="E18" s="453">
        <f>IF(ISNUMBER(D18/B18),D18/B18," - ")</f>
        <v>69</v>
      </c>
      <c r="F18" s="452">
        <f>IF(ISNUMBER(Datos!N18),Datos!N18," - ")</f>
        <v>508</v>
      </c>
      <c r="G18" s="453">
        <f>IF(ISNUMBER(F18/B18),F18/B18," - ")</f>
        <v>508</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4</v>
      </c>
      <c r="C21" s="482">
        <f>Datos!AQ21</f>
        <v>4</v>
      </c>
      <c r="D21" s="452">
        <f>IF(ISNUMBER(Datos!M21),Datos!M21," - ")</f>
        <v>1260</v>
      </c>
      <c r="E21" s="453">
        <f t="shared" si="3"/>
        <v>315</v>
      </c>
      <c r="F21" s="452">
        <f>IF(ISNUMBER(Datos!N21),Datos!N21," - ")</f>
        <v>1789</v>
      </c>
      <c r="G21" s="453">
        <f t="shared" si="4"/>
        <v>447.25</v>
      </c>
      <c r="H21" s="452">
        <f>IF(ISNUMBER(Datos!O21),Datos!O21," - ")</f>
        <v>83</v>
      </c>
      <c r="I21" s="453">
        <f t="shared" si="5"/>
        <v>20.75</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10</v>
      </c>
      <c r="C23" s="1151">
        <f>Datos!AR23</f>
        <v>10</v>
      </c>
      <c r="D23" s="1149">
        <f>SUBTOTAL(9,D16:D22)</f>
        <v>2816</v>
      </c>
      <c r="E23" s="1150">
        <f t="shared" si="3"/>
        <v>281.60000000000002</v>
      </c>
      <c r="F23" s="1149">
        <f>SUBTOTAL(9,F16:F22)</f>
        <v>9307</v>
      </c>
      <c r="G23" s="1150">
        <f t="shared" si="4"/>
        <v>930.7</v>
      </c>
      <c r="H23" s="1149">
        <f>SUBTOTAL(9,H16:H22)</f>
        <v>230</v>
      </c>
      <c r="I23" s="1150">
        <f>IF(ISNUMBER(H23/B23),H23/B23," - ")</f>
        <v>23</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3</v>
      </c>
      <c r="C28" s="483">
        <f>Datos!AQ28-IF(ISNUMBER(Datos!AQ29),Datos!AQ29,0)</f>
        <v>3</v>
      </c>
      <c r="D28" s="484">
        <f>IF(ISNUMBER(Datos!M28),Datos!M28," - ")</f>
        <v>823</v>
      </c>
      <c r="E28" s="453">
        <f t="shared" ref="E28:E30" si="9">IF(ISNUMBER(D28/B28),D28/B28," - ")</f>
        <v>274.33333333333331</v>
      </c>
      <c r="F28" s="452">
        <f>IF(ISNUMBER(Datos!N28),Datos!N28," - ")</f>
        <v>497</v>
      </c>
      <c r="G28" s="453">
        <f t="shared" ref="G28:G30" si="10">IF(ISNUMBER(F28/B28),F28/B28," - ")</f>
        <v>165.66666666666666</v>
      </c>
      <c r="H28" s="452">
        <f>IF(ISNUMBER(Datos!O28),Datos!O28," - ")</f>
        <v>1645</v>
      </c>
      <c r="I28" s="453">
        <f t="shared" ref="I28:I30" si="11">IF(ISNUMBER(H28/B28),H28/B28," - ")</f>
        <v>548.33333333333337</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3</v>
      </c>
      <c r="C30" s="1151">
        <f>Datos!AR30</f>
        <v>3</v>
      </c>
      <c r="D30" s="1149">
        <f>SUBTOTAL(9,D28:D29)</f>
        <v>823</v>
      </c>
      <c r="E30" s="1150">
        <f t="shared" si="9"/>
        <v>274.33333333333331</v>
      </c>
      <c r="F30" s="1149">
        <f>SUBTOTAL(9,F28:F29)</f>
        <v>497</v>
      </c>
      <c r="G30" s="1150">
        <f t="shared" si="10"/>
        <v>165.66666666666666</v>
      </c>
      <c r="H30" s="1149">
        <f>SUBTOTAL(9,H28:H29)</f>
        <v>1645</v>
      </c>
      <c r="I30" s="1150">
        <f t="shared" si="11"/>
        <v>548.33333333333337</v>
      </c>
    </row>
    <row r="31" spans="1:9" ht="14.25" thickTop="1" thickBot="1">
      <c r="A31" s="1086" t="str">
        <f>Datos!A31</f>
        <v>TOTAL JURISDICCIONES</v>
      </c>
      <c r="B31" s="1087">
        <f>Datos!AP31</f>
        <v>23</v>
      </c>
      <c r="C31" s="1087">
        <f>Datos!AR31</f>
        <v>23</v>
      </c>
      <c r="D31" s="1087">
        <f>SUBTOTAL(9,D8:D30)</f>
        <v>7140</v>
      </c>
      <c r="E31" s="1088">
        <f>IF(ISNUMBER(D31/B31),D31/B31," - ")</f>
        <v>310.43478260869563</v>
      </c>
      <c r="F31" s="1087">
        <f>SUBTOTAL(9,F8:F30)</f>
        <v>16103</v>
      </c>
      <c r="G31" s="1088">
        <f>IF(ISNUMBER(F31/B31),F31/B31," - ")</f>
        <v>700.13043478260875</v>
      </c>
      <c r="H31" s="1087">
        <f>SUBTOTAL(9,H8:H30)</f>
        <v>8018</v>
      </c>
      <c r="I31" s="1088">
        <f>IF(ISNUMBER(H31/B31),H31/B31," - ")</f>
        <v>348.60869565217394</v>
      </c>
    </row>
    <row r="34" spans="1:1">
      <c r="A34" s="440" t="str">
        <f>Criterios!A4</f>
        <v>Fecha Informe: 05 abr. 2022</v>
      </c>
    </row>
    <row r="39" spans="1:1">
      <c r="A39" s="463"/>
    </row>
  </sheetData>
  <sheetProtection algorithmName="SHA-512" hashValue="VskYTDB57WuXLq6REtP6SyXlzLzaNEF+gn1XXOKHFoJBK7uxOBQepbR8xbyUgMFs4Np4pKoiIqL4VrXsd/x0xg==" saltValue="MqsmzPpJ06gcDR+MO7pN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45</v>
      </c>
      <c r="B3" s="440" t="str">
        <f>Criterios!A10 &amp;"  "&amp;Criterios!B10</f>
        <v>Provincias  BARCELONA</v>
      </c>
    </row>
    <row r="4" spans="1:4" ht="13.5" thickBot="1">
      <c r="B4" s="440" t="str">
        <f>Criterios!A11 &amp;"  "&amp;Criterios!B11</f>
        <v>Resumenes por Partidos Judiciales  SABADELL</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2712</v>
      </c>
      <c r="C9" s="490">
        <f>IF(ISNUMBER(Datos!Q9),Datos!Q9," - ")</f>
        <v>3192</v>
      </c>
      <c r="D9" s="457">
        <f>IF(ISNUMBER(Datos!R9),Datos!R9," - ")</f>
        <v>14921</v>
      </c>
    </row>
    <row r="10" spans="1:4">
      <c r="A10" s="451" t="str">
        <f>Datos!A10</f>
        <v>Jdos. Violencia contra la mujer</v>
      </c>
      <c r="B10" s="489">
        <f>IF(ISNUMBER(Datos!P10),Datos!P10," - ")</f>
        <v>44</v>
      </c>
      <c r="C10" s="490">
        <f>IF(ISNUMBER(Datos!Q10),Datos!Q10," - ")</f>
        <v>63</v>
      </c>
      <c r="D10" s="457">
        <f>IF(ISNUMBER(Datos!R10),Datos!R10," - ")</f>
        <v>127</v>
      </c>
    </row>
    <row r="11" spans="1:4">
      <c r="A11" s="451" t="str">
        <f>Datos!A11</f>
        <v xml:space="preserve">Jdos. Familia                                   </v>
      </c>
      <c r="B11" s="489">
        <f>IF(ISNUMBER(Datos!P11),Datos!P11," - ")</f>
        <v>235</v>
      </c>
      <c r="C11" s="490">
        <f>IF(ISNUMBER(Datos!Q11),Datos!Q11," - ")</f>
        <v>510</v>
      </c>
      <c r="D11" s="457">
        <f>IF(ISNUMBER(Datos!R11),Datos!R11," - ")</f>
        <v>983</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2991</v>
      </c>
      <c r="C14" s="1153">
        <f>SUBTOTAL(9,C9:C13)</f>
        <v>3765</v>
      </c>
      <c r="D14" s="1151">
        <f>SUBTOTAL(9,D9:D13)</f>
        <v>16031</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302</v>
      </c>
      <c r="C16" s="490">
        <f>IF(ISNUMBER(Datos!Q16),Datos!Q16," - ")</f>
        <v>234</v>
      </c>
      <c r="D16" s="457">
        <f>IF(ISNUMBER(Datos!R16),Datos!R16," - ")</f>
        <v>447</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2</v>
      </c>
      <c r="C18" s="490">
        <f>IF(ISNUMBER(Datos!Q18),Datos!Q18," - ")</f>
        <v>5</v>
      </c>
      <c r="D18" s="457">
        <f>IF(ISNUMBER(Datos!R18),Datos!R18," - ")</f>
        <v>1</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1854</v>
      </c>
      <c r="C21" s="490">
        <f>IF(ISNUMBER(Datos!Q21),Datos!Q21," - ")</f>
        <v>2628</v>
      </c>
      <c r="D21" s="457">
        <f>IF(ISNUMBER(Datos!R21),Datos!R21," - ")</f>
        <v>4245</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2158</v>
      </c>
      <c r="C23" s="1153">
        <f>SUBTOTAL(9,C16:C22)</f>
        <v>2867</v>
      </c>
      <c r="D23" s="1151">
        <f>SUBTOTAL(9,D16:D22)</f>
        <v>4693</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145</v>
      </c>
      <c r="C28" s="490">
        <f>IF(ISNUMBER(Datos!Q28),Datos!Q28," - ")</f>
        <v>220</v>
      </c>
      <c r="D28" s="457">
        <f>IF(ISNUMBER(Datos!R28),Datos!R28," - ")</f>
        <v>123</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145</v>
      </c>
      <c r="C30" s="1153">
        <f>SUBTOTAL(9,C28:C29)</f>
        <v>220</v>
      </c>
      <c r="D30" s="1151">
        <f>SUBTOTAL(9,D28:D29)</f>
        <v>123</v>
      </c>
    </row>
    <row r="31" spans="1:4" ht="16.5" customHeight="1" thickTop="1" thickBot="1">
      <c r="A31" s="1086" t="str">
        <f>Datos!A31</f>
        <v>TOTAL JURISDICCIONES</v>
      </c>
      <c r="B31" s="1091">
        <f>SUBTOTAL(9,B8:B30)</f>
        <v>5294</v>
      </c>
      <c r="C31" s="1092">
        <f>SUBTOTAL(9,C8:C30)</f>
        <v>6852</v>
      </c>
      <c r="D31" s="1093">
        <f>SUBTOTAL(9,D8:D30)</f>
        <v>20847</v>
      </c>
    </row>
    <row r="32" spans="1:4" ht="7.5" customHeight="1"/>
    <row r="33" spans="1:1" ht="6" customHeight="1"/>
    <row r="34" spans="1:1">
      <c r="A34" s="440" t="str">
        <f>Criterios!A4</f>
        <v>Fecha Informe: 05 abr. 2022</v>
      </c>
    </row>
    <row r="39" spans="1:1">
      <c r="A39" s="463"/>
    </row>
  </sheetData>
  <sheetProtection algorithmName="SHA-512" hashValue="Xx6CmLZ1b5n3iKrNWZjWKoQ9vpjXroeAAl5xv6DVK3qgzwToocGAnNk+/yDVm2YNaIUQZqnGOO4a+WFl7vGeQA==" saltValue="SEhDTA3VAwIFZEX6iW0Y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159</v>
      </c>
      <c r="B3" s="440" t="str">
        <f>Criterios!A10 &amp;"  "&amp;Criterios!B10</f>
        <v>Provincias  BARCELONA</v>
      </c>
    </row>
    <row r="4" spans="1:11" ht="10.5" customHeight="1" thickBot="1">
      <c r="B4" s="440" t="str">
        <f>Criterios!A11 &amp;"  "&amp;Criterios!B11</f>
        <v>Resumenes por Partidos Judiciales  SABADELL</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0.10964117433852845</v>
      </c>
      <c r="C9" s="516">
        <f>IF(ISNUMBER(
   IF(J_V="SI",(Datos!J9-Datos!T9)/Datos!T9,(Datos!J9+Datos!Z9-(Datos!T9+Datos!AH9))/(Datos!T9+Datos!AH9))
     ),IF(J_V="SI",(Datos!J9-Datos!T9)/Datos!T9,(Datos!J9+Datos!Z9-(Datos!T9+Datos!AH9))/(Datos!T9+Datos!AH9))," - ")</f>
        <v>0.26795694473193954</v>
      </c>
      <c r="D9" s="516">
        <f>IF(ISNUMBER(
   IF(J_V="SI",(Datos!K9-Datos!U9)/Datos!U9,(Datos!K9+Datos!AA9-(Datos!U9+Datos!AI9))/(Datos!U9+Datos!AI9))
     ),IF(J_V="SI",(Datos!K9-Datos!U9)/Datos!U9,(Datos!K9+Datos!AA9-(Datos!U9+Datos!AI9))/(Datos!U9+Datos!AI9))," - ")</f>
        <v>0.33459401961943031</v>
      </c>
      <c r="E9" s="516">
        <f>IF(ISNUMBER(
   IF(J_V="SI",(Datos!L9-Datos!V9)/Datos!V9,(Datos!L9+Datos!AB9-(Datos!V9+Datos!AJ9))/(Datos!V9+Datos!AJ9))
     ),IF(J_V="SI",(Datos!L9-Datos!V9)/Datos!V9,(Datos!L9+Datos!AB9-(Datos!V9+Datos!AJ9))/(Datos!V9+Datos!AJ9))," - ")</f>
        <v>7.8229626000326638E-2</v>
      </c>
      <c r="F9" s="516">
        <f>IF(ISNUMBER((Datos!M9-Datos!W9)/Datos!W9),(Datos!M9-Datos!W9)/Datos!W9," - ")</f>
        <v>0.45</v>
      </c>
      <c r="G9" s="517">
        <f>IF(ISNUMBER((Datos!N9-Datos!X9)/Datos!X9),(Datos!N9-Datos!X9)/Datos!X9," - ")</f>
        <v>0.40340117089489824</v>
      </c>
      <c r="H9" s="515">
        <f>IF(ISNUMBER(((NºAsuntos!G9/NºAsuntos!E9)-Datos!BD9)/Datos!BD9),((NºAsuntos!G9/NºAsuntos!E9)-Datos!BD9)/Datos!BD9," - ")</f>
        <v>5.2554682684102197E-2</v>
      </c>
      <c r="I9" s="516">
        <f>IF(ISNUMBER(((NºAsuntos!I9/NºAsuntos!G9)-Datos!BE9)/Datos!BE9),((NºAsuntos!I9/NºAsuntos!G9)-Datos!BE9)/Datos!BE9," - ")</f>
        <v>-0.1920916697140663</v>
      </c>
      <c r="J9" s="522">
        <f>IF(ISNUMBER((('Resol  Asuntos'!D9/NºAsuntos!G9)-Datos!BF9)/Datos!BF9),(('Resol  Asuntos'!D9/NºAsuntos!G9)-Datos!BF9)/Datos!BF9," - ")</f>
        <v>-0.49719968722413488</v>
      </c>
      <c r="K9" s="523">
        <f>IF(ISNUMBER((((NºAsuntos!C9+NºAsuntos!E9)/NºAsuntos!G9)-Datos!BG9)/Datos!BG9),(((NºAsuntos!C9+NºAsuntos!E9)/NºAsuntos!G9)-Datos!BG9)/Datos!BG9," - ")</f>
        <v>-0.11318027325271152</v>
      </c>
    </row>
    <row r="10" spans="1:11">
      <c r="A10" s="451" t="str">
        <f>Datos!A10</f>
        <v>Jdos. Violencia contra la mujer</v>
      </c>
      <c r="B10" s="515">
        <f>IF(ISNUMBER((Datos!I10-Datos!S10)/Datos!S10),(Datos!I10-Datos!S10)/Datos!S10," - ")</f>
        <v>0.62318840579710144</v>
      </c>
      <c r="C10" s="516">
        <f>IF(ISNUMBER((Datos!J10-Datos!T10)/Datos!T10),(Datos!J10-Datos!T10)/Datos!T10," - ")</f>
        <v>0.39310344827586208</v>
      </c>
      <c r="D10" s="516">
        <f>IF(ISNUMBER((Datos!K10-Datos!U10)/Datos!U10),(Datos!K10-Datos!U10)/Datos!U10," - ")</f>
        <v>0.91176470588235292</v>
      </c>
      <c r="E10" s="516">
        <f>IF(ISNUMBER((Datos!L10-Datos!V10)/Datos!V10),(Datos!L10-Datos!V10)/Datos!V10," - ")</f>
        <v>6.25E-2</v>
      </c>
      <c r="F10" s="516">
        <f>IF(ISNUMBER((Datos!M10-Datos!W10)/Datos!W10),(Datos!M10-Datos!W10)/Datos!W10," - ")</f>
        <v>1.1875</v>
      </c>
      <c r="G10" s="517">
        <f>IF(ISNUMBER((Datos!N10-Datos!X10)/Datos!X10),(Datos!N10-Datos!X10)/Datos!X10," - ")</f>
        <v>0.93548387096774188</v>
      </c>
      <c r="H10" s="515">
        <f>IF(ISNUMBER(((NºAsuntos!G10/NºAsuntos!E10)-Datos!BD10)/Datos!BD10),((NºAsuntos!G10/NºAsuntos!E10)-Datos!BD10)/Datos!BD10," - ")</f>
        <v>0.37230634828188702</v>
      </c>
      <c r="I10" s="516">
        <f>IF(ISNUMBER(((NºAsuntos!I10/NºAsuntos!G10)-Datos!BE10)/Datos!BE10),((NºAsuntos!I10/NºAsuntos!G10)-Datos!BE10)/Datos!BE10," - ")</f>
        <v>-0.44423076923076921</v>
      </c>
      <c r="J10" s="522">
        <f>IF(ISNUMBER((('Resol  Asuntos'!D10/NºAsuntos!G10)-Datos!BF10)/Datos!BF10),(('Resol  Asuntos'!D10/NºAsuntos!G10)-Datos!BF10)/Datos!BF10," - ")</f>
        <v>0.14423076923076925</v>
      </c>
      <c r="K10" s="523">
        <f>IF(ISNUMBER((((NºAsuntos!C10+NºAsuntos!E10)/NºAsuntos!G10)-Datos!BG10)/Datos!BG10),(((NºAsuntos!C10+NºAsuntos!E10)/NºAsuntos!G10)-Datos!BG10)/Datos!BG10," - ")</f>
        <v>-0.2324946081955428</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0.15391156462585034</v>
      </c>
      <c r="C11" s="516">
        <f>IF(ISNUMBER(
   IF(J_V="SI",(Datos!J11-Datos!T11)/Datos!T11,(Datos!J11+Datos!Z11-(Datos!T11+Datos!AH11))/(Datos!T11+Datos!AH11))
     ),IF(J_V="SI",(Datos!J11-Datos!T11)/Datos!T11,(Datos!J11+Datos!Z11-(Datos!T11+Datos!AH11))/(Datos!T11+Datos!AH11))," - ")</f>
        <v>1.2035010940919038E-2</v>
      </c>
      <c r="D11" s="516">
        <f>IF(ISNUMBER(
   IF(J_V="SI",(Datos!K11-Datos!U11)/Datos!U11,(Datos!K11+Datos!AA11-(Datos!U11+Datos!AI11))/(Datos!U11+Datos!AI11))
     ),IF(J_V="SI",(Datos!K11-Datos!U11)/Datos!U11,(Datos!K11+Datos!AA11-(Datos!U11+Datos!AI11))/(Datos!U11+Datos!AI11))," - ")</f>
        <v>6.4695009242144177E-2</v>
      </c>
      <c r="E11" s="516">
        <f>IF(ISNUMBER(
   IF(J_V="SI",(Datos!L11-Datos!V11)/Datos!V11,(Datos!L11+Datos!AB11-(Datos!V11+Datos!AJ11))/(Datos!V11+Datos!AJ11))
     ),IF(J_V="SI",(Datos!L11-Datos!V11)/Datos!V11,(Datos!L11+Datos!AB11-(Datos!V11+Datos!AJ11))/(Datos!V11+Datos!AJ11))," - ")</f>
        <v>-0.13633014001473839</v>
      </c>
      <c r="F11" s="516">
        <f>IF(ISNUMBER((Datos!M11-Datos!W11)/Datos!W11),(Datos!M11-Datos!W11)/Datos!W11," - ")</f>
        <v>0.77777777777777779</v>
      </c>
      <c r="G11" s="517">
        <f>IF(ISNUMBER((Datos!N11-Datos!X11)/Datos!X11),(Datos!N11-Datos!X11)/Datos!X11," - ")</f>
        <v>-1.6570008285004142E-3</v>
      </c>
      <c r="H11" s="515">
        <f>IF(ISNUMBER(((NºAsuntos!G11/NºAsuntos!E11)-Datos!BD11)/Datos!BD11),((NºAsuntos!G11/NºAsuntos!E11)-Datos!BD11)/Datos!BD11," - ")</f>
        <v>5.2033771294399879E-2</v>
      </c>
      <c r="I11" s="516">
        <f>IF(ISNUMBER(((NºAsuntos!I11/NºAsuntos!G11)-Datos!BE11)/Datos!BE11),((NºAsuntos!I11/NºAsuntos!G11)-Datos!BE11)/Datos!BE11," - ")</f>
        <v>-0.18881007942356501</v>
      </c>
      <c r="J11" s="522">
        <f>IF(ISNUMBER((('Resol  Asuntos'!D11/NºAsuntos!G11)-Datos!BF11)/Datos!BF11),(('Resol  Asuntos'!D11/NºAsuntos!G11)-Datos!BF11)/Datos!BF11," - ")</f>
        <v>-0.20316671269446743</v>
      </c>
      <c r="K11" s="523">
        <f>IF(ISNUMBER((((NºAsuntos!C11+NºAsuntos!E11)/NºAsuntos!G11)-Datos!BG11)/Datos!BG11),(((NºAsuntos!C11+NºAsuntos!E11)/NºAsuntos!G11)-Datos!BG11)/Datos!BG11," - ")</f>
        <v>-9.4630905790935981E-3</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0.11676573568927612</v>
      </c>
      <c r="C14" s="1155">
        <f>IF(ISNUMBER(
   IF(J_V="SI",(Datos!J14-Datos!T14)/Datos!T14,(Datos!J14+Datos!Z14-(Datos!T14+Datos!AH14))/(Datos!T14+Datos!AH14))
     ),IF(J_V="SI",(Datos!J14-Datos!T14)/Datos!T14,(Datos!J14+Datos!Z14-(Datos!T14+Datos!AH14))/(Datos!T14+Datos!AH14))," - ")</f>
        <v>0.21348314606741572</v>
      </c>
      <c r="D14" s="1155">
        <f>IF(ISNUMBER(
   IF(J_V="SI",(Datos!K14-Datos!U14)/Datos!U14,(Datos!K14+Datos!AA14-(Datos!U14+Datos!AI14))/(Datos!U14+Datos!AI14))
     ),IF(J_V="SI",(Datos!K14-Datos!U14)/Datos!U14,(Datos!K14+Datos!AA14-(Datos!U14+Datos!AI14))/(Datos!U14+Datos!AI14))," - ")</f>
        <v>0.27502662406815759</v>
      </c>
      <c r="E14" s="1155">
        <f>IF(ISNUMBER(
   IF(J_V="SI",(Datos!L14-Datos!V14)/Datos!V14,(Datos!L14+Datos!AB14-(Datos!V14+Datos!AJ14))/(Datos!V14+Datos!AJ14))
     ),IF(J_V="SI",(Datos!L14-Datos!V14)/Datos!V14,(Datos!L14+Datos!AB14-(Datos!V14+Datos!AJ14))/(Datos!V14+Datos!AJ14))," - ")</f>
        <v>5.6872037914691941E-2</v>
      </c>
      <c r="F14" s="1156">
        <f>IF(ISNUMBER((Datos!M14-Datos!W14)/Datos!W14),(Datos!M14-Datos!W14)/Datos!W14," - ")</f>
        <v>0.54365079365079361</v>
      </c>
      <c r="G14" s="1157">
        <f>IF(ISNUMBER((Datos!N14-Datos!X14)/Datos!X14),(Datos!N14-Datos!X14)/Datos!X14," - ")</f>
        <v>0.30549222797927461</v>
      </c>
      <c r="H14" s="1157">
        <f>IF(ISNUMBER(((NºAsuntos!G14/NºAsuntos!E14)-Datos!BD14)/Datos!BD14),((NºAsuntos!G14/NºAsuntos!E14)-Datos!BD14)/Datos!BD14," - ")</f>
        <v>5.0716384648759494E-2</v>
      </c>
      <c r="I14" s="1157">
        <f>IF(ISNUMBER(((NºAsuntos!I14/NºAsuntos!G14)-Datos!BE14)/Datos!BE14),((NºAsuntos!I14/NºAsuntos!G14)-Datos!BE14)/Datos!BE14," - ")</f>
        <v>-0.1710980633936974</v>
      </c>
      <c r="J14" s="1157">
        <f>IF(ISNUMBER((('Resol  Asuntos'!D14/NºAsuntos!G14)-Datos!BF14)/Datos!BF14),(('Resol  Asuntos'!D14/NºAsuntos!G14)-Datos!BF14)/Datos!BF14," - ")</f>
        <v>-0.43103501540387701</v>
      </c>
      <c r="K14" s="1157">
        <f>IF(ISNUMBER((((NºAsuntos!C14+NºAsuntos!E14)/NºAsuntos!G14)-Datos!BG14)/Datos!BG14),(((NºAsuntos!C14+NºAsuntos!E14)/NºAsuntos!G14)-Datos!BG14)/Datos!BG14," - ")</f>
        <v>-8.5786623207785878E-2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0.26604116222760288</v>
      </c>
      <c r="C16" s="516">
        <f>IF(ISNUMBER(
   IF(D_I="SI",(Datos!J16-Datos!T16)/Datos!T16,(Datos!J16+Datos!AD16-(Datos!T16+Datos!AL16))/(Datos!T16+Datos!AL16))
     ),IF(D_I="SI",(Datos!J16-Datos!T16)/Datos!T16,(Datos!J16+Datos!AD16-(Datos!T16+Datos!AL16))/(Datos!T16+Datos!AL16))," - ")</f>
        <v>7.5936519653072521E-2</v>
      </c>
      <c r="D16" s="516">
        <f>IF(ISNUMBER(
   IF(D_I="SI",(Datos!K16-Datos!U16)/Datos!U16,(Datos!K16+Datos!AE16-(Datos!U16+Datos!AM16))/(Datos!U16+Datos!AM16))
     ),IF(D_I="SI",(Datos!K16-Datos!U16)/Datos!U16,(Datos!K16+Datos!AE16-(Datos!U16+Datos!AM16))/(Datos!U16+Datos!AM16))," - ")</f>
        <v>0.1485906862745098</v>
      </c>
      <c r="E16" s="516">
        <f>IF(ISNUMBER(
   IF(D_I="SI",(Datos!L16-Datos!V16)/Datos!V16,(Datos!L16+Datos!AF16-(Datos!V16+Datos!AN16))/(Datos!V16+Datos!AN16))
     ),IF(D_I="SI",(Datos!L16-Datos!V16)/Datos!V16,(Datos!L16+Datos!AF16-(Datos!V16+Datos!AN16))/(Datos!V16+Datos!AN16))," - ")</f>
        <v>0.12072675113554865</v>
      </c>
      <c r="F16" s="516">
        <f>IF(ISNUMBER((Datos!M16-Datos!W16)/Datos!W16),(Datos!M16-Datos!W16)/Datos!W16," - ")</f>
        <v>0.52356557377049184</v>
      </c>
      <c r="G16" s="517">
        <f>IF(ISNUMBER((Datos!N16-Datos!X16)/Datos!X16),(Datos!N16-Datos!X16)/Datos!X16," - ")</f>
        <v>0.14411620695283173</v>
      </c>
      <c r="H16" s="515">
        <f>IF(ISNUMBER(((NºAsuntos!G16/NºAsuntos!E16)-Datos!BD16)/Datos!BD16),((NºAsuntos!G16/NºAsuntos!E16)-Datos!BD16)/Datos!BD16," - ")</f>
        <v>6.7526443516262608E-2</v>
      </c>
      <c r="I16" s="516">
        <f>IF(ISNUMBER(((NºAsuntos!I16/NºAsuntos!G16)-Datos!BE16)/Datos!BE16),((NºAsuntos!I16/NºAsuntos!G16)-Datos!BE16)/Datos!BE16," - ")</f>
        <v>-2.4259238275158457E-2</v>
      </c>
      <c r="J16" s="522">
        <f>IF(ISNUMBER((('Resol  Asuntos'!D16/NºAsuntos!G16)-Datos!BF16)/Datos!BF16),(('Resol  Asuntos'!D16/NºAsuntos!G16)-Datos!BF16)/Datos!BF16," - ")</f>
        <v>0.32646519946302616</v>
      </c>
      <c r="K16" s="523">
        <f>IF(ISNUMBER((((NºAsuntos!C16+NºAsuntos!E16)/NºAsuntos!G16)-Datos!BG16)/Datos!BG16),(((NºAsuntos!C16+NºAsuntos!E16)/NºAsuntos!G16)-Datos!BG16)/Datos!BG16," - ")</f>
        <v>-2.4586615828426878E-2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0.44</v>
      </c>
      <c r="C18" s="516">
        <f>IF(ISNUMBER(
   IF(D_I="SI",(Datos!J18-Datos!T18)/Datos!T18,(Datos!J18+Datos!AD18-(Datos!T18+Datos!AL18))/(Datos!T18+Datos!AL18))
     ),IF(D_I="SI",(Datos!J18-Datos!T18)/Datos!T18,(Datos!J18+Datos!AD18-(Datos!T18+Datos!AL18))/(Datos!T18+Datos!AL18))," - ")</f>
        <v>8.0164439876670088E-2</v>
      </c>
      <c r="D18" s="516">
        <f>IF(ISNUMBER(
   IF(D_I="SI",(Datos!K18-Datos!U18)/Datos!U18,(Datos!K18+Datos!AE18-(Datos!U18+Datos!AM18))/(Datos!U18+Datos!AM18))
     ),IF(D_I="SI",(Datos!K18-Datos!U18)/Datos!U18,(Datos!K18+Datos!AE18-(Datos!U18+Datos!AM18))/(Datos!U18+Datos!AM18))," - ")</f>
        <v>0.37775202780996525</v>
      </c>
      <c r="E18" s="516">
        <f>IF(ISNUMBER(
   IF(D_I="SI",(Datos!L18-Datos!V18)/Datos!V18,(Datos!L18+Datos!AF18-(Datos!V18+Datos!AN18))/(Datos!V18+Datos!AN18))
     ),IF(D_I="SI",(Datos!L18-Datos!V18)/Datos!V18,(Datos!L18+Datos!AF18-(Datos!V18+Datos!AN18))/(Datos!V18+Datos!AN18))," - ")</f>
        <v>-0.38055555555555554</v>
      </c>
      <c r="F18" s="516">
        <f>IF(ISNUMBER((Datos!M18-Datos!W18)/Datos!W18),(Datos!M18-Datos!W18)/Datos!W18," - ")</f>
        <v>0.35294117647058826</v>
      </c>
      <c r="G18" s="517">
        <f>IF(ISNUMBER((Datos!N18-Datos!X18)/Datos!X18),(Datos!N18-Datos!X18)/Datos!X18," - ")</f>
        <v>0.29923273657289001</v>
      </c>
      <c r="H18" s="515">
        <f>IF(ISNUMBER(((NºAsuntos!G18/NºAsuntos!E18)-Datos!BD18)/Datos!BD18),((NºAsuntos!G18/NºAsuntos!E18)-Datos!BD18)/Datos!BD18," - ")</f>
        <v>0.27550211518467754</v>
      </c>
      <c r="I18" s="516">
        <f>IF(ISNUMBER(((NºAsuntos!I18/NºAsuntos!G18)-Datos!BE18)/Datos!BE18),((NºAsuntos!I18/NºAsuntos!G18)-Datos!BE18)/Datos!BE18," - ")</f>
        <v>-0.55039482291374642</v>
      </c>
      <c r="J18" s="522">
        <f>IF(ISNUMBER((('Resol  Asuntos'!D18/NºAsuntos!G18)-Datos!BF18)/Datos!BF18),(('Resol  Asuntos'!D18/NºAsuntos!G18)-Datos!BF18)/Datos!BF18," - ")</f>
        <v>-1.8008212536486438E-2</v>
      </c>
      <c r="K18" s="523">
        <f>IF(ISNUMBER((((NºAsuntos!C18+NºAsuntos!E18)/NºAsuntos!G18)-Datos!BG18)/Datos!BG18),(((NºAsuntos!C18+NºAsuntos!E18)/NºAsuntos!G18)-Datos!BG18)/Datos!BG18," - ")</f>
        <v>-0.16260666906440674</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0.2043343653250774</v>
      </c>
      <c r="C21" s="516">
        <f>IF(ISNUMBER((Datos!J21-Datos!T21)/Datos!T21),(Datos!J21-Datos!T21)/Datos!T21," - ")</f>
        <v>0.1314935064935065</v>
      </c>
      <c r="D21" s="516">
        <f>IF(ISNUMBER((Datos!K21-Datos!U21)/Datos!U21),(Datos!K21-Datos!U21)/Datos!U21," - ")</f>
        <v>0.16846473029045644</v>
      </c>
      <c r="E21" s="516">
        <f>IF(ISNUMBER((Datos!L21-Datos!V21)/Datos!V21),(Datos!L21-Datos!V21)/Datos!V21," - ")</f>
        <v>0.18573264781491003</v>
      </c>
      <c r="F21" s="516">
        <f>IF(ISNUMBER((Datos!M21-Datos!W21)/Datos!W21),(Datos!M21-Datos!W21)/Datos!W21," - ")</f>
        <v>0.33192389006342493</v>
      </c>
      <c r="G21" s="517">
        <f>IF(ISNUMBER((Datos!N21-Datos!X21)/Datos!X21),(Datos!N21-Datos!X21)/Datos!X21," - ")</f>
        <v>-5.9905412506568577E-2</v>
      </c>
      <c r="H21" s="515">
        <f>IF(ISNUMBER(((NºAsuntos!G21/NºAsuntos!E21)-Datos!BD21)/Datos!BD21),((NºAsuntos!G21/NºAsuntos!E21)-Datos!BD21)/Datos!BD21," - ")</f>
        <v>3.2674711418825136E-2</v>
      </c>
      <c r="I21" s="516">
        <f>IF(ISNUMBER(((NºAsuntos!I21/NºAsuntos!G21)-Datos!BE21)/Datos!BE21),((NºAsuntos!I21/NºAsuntos!G21)-Datos!BE21)/Datos!BE21," - ")</f>
        <v>1.477829589273184E-2</v>
      </c>
      <c r="J21" s="522">
        <f>IF(ISNUMBER((('Resol  Asuntos'!D21/NºAsuntos!G21)-Datos!BF21)/Datos!BF21),(('Resol  Asuntos'!D21/NºAsuntos!G21)-Datos!BF21)/Datos!BF21," - ")</f>
        <v>0.13989224966365563</v>
      </c>
      <c r="K21" s="523">
        <f>IF(ISNUMBER((((NºAsuntos!C21+NºAsuntos!E21)/NºAsuntos!G21)-Datos!BG21)/Datos!BG21),(((NºAsuntos!C21+NºAsuntos!E21)/NºAsuntos!G21)-Datos!BG21)/Datos!BG21," - ")</f>
        <v>2.6957120731879784E-4</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0.25856376392901365</v>
      </c>
      <c r="C23" s="1155">
        <f>IF(ISNUMBER(
   IF(Criterios!B14="SI",(Datos!J23-Datos!T23)/Datos!T23,(Datos!J23+Datos!AD23-(Datos!T23+Datos!AL23))/(Datos!T23+Datos!AL23))
     ),IF(Criterios!B14="SI",(Datos!J23-Datos!T23)/Datos!T23,(Datos!J23+Datos!AD23-(Datos!T23+Datos!AL23))/(Datos!T23+Datos!AL23))," - ")</f>
        <v>8.149965498734954E-2</v>
      </c>
      <c r="D23" s="1155">
        <f>IF(ISNUMBER(
   IF(Criterios!B14="SI",(Datos!K23-Datos!U23)/Datos!U23,(Datos!K23+Datos!AE23-(Datos!U23+Datos!AM23))/(Datos!U23+Datos!AM23))
     ),IF(Criterios!B14="SI",(Datos!K23-Datos!U23)/Datos!U23,(Datos!K23+Datos!AE23-(Datos!U23+Datos!AM23))/(Datos!U23+Datos!AM23))," - ")</f>
        <v>0.16728499156829679</v>
      </c>
      <c r="E23" s="1155">
        <f>IF(ISNUMBER(
   IF(Criterios!B14="SI",(Datos!L23-Datos!V23)/Datos!V23,(Datos!L23+Datos!AF23-(Datos!V23+Datos!AN23))/(Datos!V23+Datos!AN23))
     ),IF(Criterios!B14="SI",(Datos!L23-Datos!V23)/Datos!V23,(Datos!L23+Datos!AF23-(Datos!V23+Datos!AN23))/(Datos!V23+Datos!AN23))," - ")</f>
        <v>0.10772257747171668</v>
      </c>
      <c r="F23" s="1156">
        <f>IF(ISNUMBER((Datos!M23-Datos!W23)/Datos!W23),(Datos!M23-Datos!W23)/Datos!W23," - ")</f>
        <v>0.42726811961479982</v>
      </c>
      <c r="G23" s="1157">
        <f>IF(ISNUMBER((Datos!N23-Datos!X23)/Datos!X23),(Datos!N23-Datos!X23)/Datos!X23," - ")</f>
        <v>0.10521315758223489</v>
      </c>
      <c r="H23" s="1157">
        <f>IF(ISNUMBER(((NºAsuntos!G23/NºAsuntos!E23)-Datos!BD23)/Datos!BD23),((NºAsuntos!G23/NºAsuntos!E23)-Datos!BD23)/Datos!BD23," - ")</f>
        <v>7.9320724870643344E-2</v>
      </c>
      <c r="I23" s="1157">
        <f>IF(ISNUMBER(((NºAsuntos!I23/NºAsuntos!G23)-Datos!BE23)/Datos!BE23),((NºAsuntos!I23/NºAsuntos!G23)-Datos!BE23)/Datos!BE23," - ")</f>
        <v>-5.1026454145148788E-2</v>
      </c>
      <c r="J23" s="1157">
        <f>IF(ISNUMBER((('Resol  Asuntos'!D23/NºAsuntos!G23)-Datos!BF23)/Datos!BF23),(('Resol  Asuntos'!D23/NºAsuntos!G23)-Datos!BF23)/Datos!BF23," - ")</f>
        <v>0.22272463873385767</v>
      </c>
      <c r="K23" s="1157">
        <f>IF(ISNUMBER((((NºAsuntos!C23+NºAsuntos!E23)/NºAsuntos!G23)-Datos!BG23)/Datos!BG23),(((NºAsuntos!C23+NºAsuntos!E23)/NºAsuntos!G23)-Datos!BG23)/Datos!BG23," - ")</f>
        <v>-3.239993443144986E-2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0.43720491029272901</v>
      </c>
      <c r="C28" s="516">
        <f>IF(ISNUMBER((Datos!J28-Datos!T28)/Datos!T28),(Datos!J28-Datos!T28)/Datos!T28," - ")</f>
        <v>1.4228383801532287E-2</v>
      </c>
      <c r="D28" s="516">
        <f>IF(ISNUMBER((Datos!K28-Datos!U28)/Datos!U28),(Datos!K28-Datos!U28)/Datos!U28," - ")</f>
        <v>0.50488069414316705</v>
      </c>
      <c r="E28" s="516">
        <f>IF(ISNUMBER((Datos!L28-Datos!V28)/Datos!V28),(Datos!L28-Datos!V28)/Datos!V28," - ")</f>
        <v>-8.5413929040735869E-3</v>
      </c>
      <c r="F28" s="516">
        <f>IF(ISNUMBER((Datos!M28-Datos!W28)/Datos!W28),(Datos!M28-Datos!W28)/Datos!W28," - ")</f>
        <v>0.52407407407407403</v>
      </c>
      <c r="G28" s="517">
        <f>IF(ISNUMBER((Datos!N28-Datos!X28)/Datos!X28),(Datos!N28-Datos!X28)/Datos!X28," - ")</f>
        <v>1.21875</v>
      </c>
      <c r="H28" s="515">
        <f>IF(ISNUMBER(((NºAsuntos!G28/NºAsuntos!E28)-Datos!BD28)/Datos!BD28),((NºAsuntos!G28/NºAsuntos!E28)-Datos!BD28)/Datos!BD28," - ")</f>
        <v>0.48376905850590685</v>
      </c>
      <c r="I28" s="516">
        <f>IF(ISNUMBER(((NºAsuntos!I28/NºAsuntos!G28)-Datos!BE28)/Datos!BE28),((NºAsuntos!I28/NºAsuntos!G28)-Datos!BE28)/Datos!BE28," - ")</f>
        <v>-0.34117128955499521</v>
      </c>
      <c r="J28" s="522">
        <f>IF(ISNUMBER((('Resol  Asuntos'!D28/NºAsuntos!G28)-Datos!BF28)/Datos!BF28),(('Resol  Asuntos'!D28/NºAsuntos!G28)-Datos!BF28)/Datos!BF28," - ")</f>
        <v>1.2754087420754113E-2</v>
      </c>
      <c r="K28" s="523">
        <f>IF(ISNUMBER((((NºAsuntos!C28+NºAsuntos!E28)/NºAsuntos!G28)-Datos!BG28)/Datos!BG28),(((NºAsuntos!C28+NºAsuntos!E28)/NºAsuntos!G28)-Datos!BG28)/Datos!BG28," - ")</f>
        <v>-0.20352454533150149</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0.43720491029272901</v>
      </c>
      <c r="C30" s="1155">
        <f>IF(ISNUMBER((Datos!J30-Datos!T30)/Datos!T30),(Datos!J30-Datos!T30)/Datos!T30," - ")</f>
        <v>1.4228383801532287E-2</v>
      </c>
      <c r="D30" s="1155">
        <f>IF(ISNUMBER((Datos!K30-Datos!U30)/Datos!U30),(Datos!K30-Datos!U30)/Datos!U30," - ")</f>
        <v>0.50488069414316705</v>
      </c>
      <c r="E30" s="1155">
        <f>IF(ISNUMBER((Datos!L30-Datos!V30)/Datos!V30),(Datos!L30-Datos!V30)/Datos!V30," - ")</f>
        <v>-8.5413929040735869E-3</v>
      </c>
      <c r="F30" s="1156">
        <f>IF(ISNUMBER((Datos!M30-Datos!W30)/Datos!W30),(Datos!M30-Datos!W30)/Datos!W30," - ")</f>
        <v>0.52407407407407403</v>
      </c>
      <c r="G30" s="1157">
        <f>IF(ISNUMBER((Datos!N30-Datos!X30)/Datos!X30),(Datos!N30-Datos!X30)/Datos!X30," - ")</f>
        <v>1.21875</v>
      </c>
      <c r="H30" s="1157">
        <f>IF(ISNUMBER(((NºAsuntos!G30/NºAsuntos!E30)-Datos!BD30)/Datos!BD30),((NºAsuntos!G30/NºAsuntos!E30)-Datos!BD30)/Datos!BD30," - ")</f>
        <v>0.48376905850590685</v>
      </c>
      <c r="I30" s="1157">
        <f>IF(ISNUMBER(((NºAsuntos!I30/NºAsuntos!G30)-Datos!BE30)/Datos!BE30),((NºAsuntos!I30/NºAsuntos!G30)-Datos!BE30)/Datos!BE30," - ")</f>
        <v>-0.34117128955499521</v>
      </c>
      <c r="J30" s="1157">
        <f>IF(ISNUMBER((('Resol  Asuntos'!D30/NºAsuntos!G30)-Datos!BF30)/Datos!BF30),(('Resol  Asuntos'!D30/NºAsuntos!G30)-Datos!BF30)/Datos!BF30," - ")</f>
        <v>1.2754087420754113E-2</v>
      </c>
      <c r="K30" s="1157">
        <f>IF(ISNUMBER((((NºAsuntos!C30+NºAsuntos!E30)/NºAsuntos!G30)-Datos!BG30)/Datos!BG30),(((NºAsuntos!C30+NºAsuntos!E30)/NºAsuntos!G30)-Datos!BG30)/Datos!BG30," - ")</f>
        <v>-0.20352454533150149</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0.18773707456482203</v>
      </c>
      <c r="C31" s="1095">
        <f>IF(ISNUMBER(
   IF(J_V="SI",(Datos!J31-Datos!T31)/Datos!T31,(Datos!J31+Datos!Z31-(Datos!T31+Datos!AH31))/(Datos!T31+Datos!AH31))
     ),IF(J_V="SI",(Datos!J31-Datos!T31)/Datos!T31,(Datos!J31+Datos!Z31-(Datos!T31+Datos!AH31))/(Datos!T31+Datos!AH31))," - ")</f>
        <v>0.13344862880739775</v>
      </c>
      <c r="D31" s="1095">
        <f>IF(ISNUMBER(
   IF(J_V="SI",(Datos!K31-Datos!U31)/Datos!U31,(Datos!K31+Datos!AA31-(Datos!U31+Datos!AI31))/(Datos!U31+Datos!AI31))
     ),IF(J_V="SI",(Datos!K31-Datos!U31)/Datos!U31,(Datos!K31+Datos!AA31-(Datos!U31+Datos!AI31))/(Datos!U31+Datos!AI31))," - ")</f>
        <v>0.24082972929681243</v>
      </c>
      <c r="E31" s="1095">
        <f>IF(ISNUMBER(
   IF(J_V="SI",(Datos!L31-Datos!V31)/Datos!V31,(Datos!L31+Datos!AB31-(Datos!V31+Datos!AJ31))/(Datos!V31+Datos!AJ31))
     ),IF(J_V="SI",(Datos!L31-Datos!V31)/Datos!V31,(Datos!L31+Datos!AB31-(Datos!V31+Datos!AJ31))/(Datos!V31+Datos!AJ31))," - ")</f>
        <v>6.1728935164931317E-2</v>
      </c>
      <c r="F31" s="1096">
        <f>IF(ISNUMBER((Datos!M31-Datos!W31)/Datos!W31),(Datos!M31-Datos!W31)/Datos!W31," - ")</f>
        <v>0.49341142020497802</v>
      </c>
      <c r="G31" s="1097">
        <f>IF(ISNUMBER((Datos!N31-Datos!X31)/Datos!X31),(Datos!N31-Datos!X31)/Datos!X31," - ")</f>
        <v>0.19547141796585005</v>
      </c>
      <c r="H31" s="1098">
        <f>IF(ISNUMBER((Tasas!B31-Datos!BD31)/Datos!BD31),(Tasas!B31-Datos!BD31)/Datos!BD31," - ")</f>
        <v>9.4738391983763603E-2</v>
      </c>
      <c r="I31" s="1099">
        <f>IF(ISNUMBER((Tasas!C31-Datos!BE31)/Datos!BE31),(Tasas!C31-Datos!BE31)/Datos!BE31," - ")</f>
        <v>-0.14433954144004824</v>
      </c>
      <c r="J31" s="1100">
        <f>IF(ISNUMBER((Tasas!D31-Datos!BF31)/Datos!BF31),(Tasas!D31-Datos!BF31)/Datos!BF31," - ")</f>
        <v>-0.21594029687503666</v>
      </c>
      <c r="K31" s="1100">
        <f>IF(ISNUMBER((Tasas!E31-Datos!BG31)/Datos!BG31),(Tasas!E31-Datos!BG31)/Datos!BG31," - ")</f>
        <v>-6.884245728240905E-2</v>
      </c>
    </row>
    <row r="32" spans="1:11">
      <c r="A32" s="460"/>
      <c r="B32" s="460"/>
      <c r="C32" s="460"/>
      <c r="D32" s="460"/>
      <c r="E32" s="460"/>
    </row>
    <row r="33" spans="1:12" ht="70.5" customHeight="1">
      <c r="A33" s="1585" t="s">
        <v>198</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QU/YAWy7stBUg3oZ9Jz3V51KNWZtorBHdFKLuqYlLfn9AvWbi9jWCXAR+jr22cKvFAwuVNz0HfKjE/6T96CPTQ==" saltValue="irl5ps92n+jvhjylOSdn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SABADELL</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0.92172067586319484</v>
      </c>
      <c r="C9" s="499">
        <f>IF(ISNUMBER(NºAsuntos!I9/NºAsuntos!G9),NºAsuntos!I9/NºAsuntos!G9," - ")</f>
        <v>1.1693234148069429</v>
      </c>
      <c r="D9" s="500">
        <f>IF(ISNUMBER('Resol  Asuntos'!D9/NºAsuntos!G9),'Resol  Asuntos'!D9/NºAsuntos!G9," - ")</f>
        <v>0.21315975912150195</v>
      </c>
      <c r="E9" s="501">
        <f>IF(ISNUMBER((NºAsuntos!C9+NºAsuntos!E9)/NºAsuntos!G9),(NºAsuntos!C9+NºAsuntos!E9)/NºAsuntos!G9," - ")</f>
        <v>2.1694119730782857</v>
      </c>
      <c r="G9" s="524"/>
    </row>
    <row r="10" spans="1:7">
      <c r="A10" s="451" t="str">
        <f>Datos!A10</f>
        <v>Jdos. Violencia contra la mujer</v>
      </c>
      <c r="B10" s="498">
        <f>IF(ISNUMBER(NºAsuntos!G10/NºAsuntos!E10),NºAsuntos!G10/NºAsuntos!E10," - ")</f>
        <v>0.96534653465346532</v>
      </c>
      <c r="C10" s="499">
        <f>IF(ISNUMBER(NºAsuntos!I10/NºAsuntos!G10),NºAsuntos!I10/NºAsuntos!G10," - ")</f>
        <v>0.61025641025641031</v>
      </c>
      <c r="D10" s="500">
        <f>IF(ISNUMBER('Resol  Asuntos'!D10/NºAsuntos!G10),'Resol  Asuntos'!D10/NºAsuntos!G10," - ")</f>
        <v>0.35897435897435898</v>
      </c>
      <c r="E10" s="501">
        <f>IF(ISNUMBER((NºAsuntos!C10+NºAsuntos!E10)/NºAsuntos!G10),(NºAsuntos!C10+NºAsuntos!E10)/NºAsuntos!G10," - ")</f>
        <v>1.6102564102564103</v>
      </c>
      <c r="G10" s="524"/>
    </row>
    <row r="11" spans="1:7">
      <c r="A11" s="451" t="str">
        <f>Datos!A11</f>
        <v xml:space="preserve">Jdos. Familia                                   </v>
      </c>
      <c r="B11" s="498">
        <f>IF(ISNUMBER(NºAsuntos!G11/NºAsuntos!E11),NºAsuntos!G11/NºAsuntos!E11," - ")</f>
        <v>1.0378378378378379</v>
      </c>
      <c r="C11" s="499">
        <f>IF(ISNUMBER(NºAsuntos!I11/NºAsuntos!G11),NºAsuntos!I11/NºAsuntos!G11," - ")</f>
        <v>0.40694444444444444</v>
      </c>
      <c r="D11" s="500">
        <f>IF(ISNUMBER('Resol  Asuntos'!D11/NºAsuntos!G11),'Resol  Asuntos'!D11/NºAsuntos!G11," - ")</f>
        <v>0.35555555555555557</v>
      </c>
      <c r="E11" s="501">
        <f>IF(ISNUMBER((NºAsuntos!C11+NºAsuntos!E11)/NºAsuntos!G11),(NºAsuntos!C11+NºAsuntos!E11)/NºAsuntos!G11," - ")</f>
        <v>1.4347222222222222</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0.94345941686367218</v>
      </c>
      <c r="C14" s="1159">
        <f>IF(ISNUMBER(NºAsuntos!I14/NºAsuntos!G14),NºAsuntos!I14/NºAsuntos!G14," - ")</f>
        <v>1.0089093060485836</v>
      </c>
      <c r="D14" s="1160">
        <f>IF(ISNUMBER('Resol  Asuntos'!D14/NºAsuntos!G14),'Resol  Asuntos'!D14/NºAsuntos!G14," - ")</f>
        <v>0.24368344121946126</v>
      </c>
      <c r="E14" s="1161">
        <f>IF(ISNUMBER((NºAsuntos!C14+NºAsuntos!E14)/NºAsuntos!G14),(NºAsuntos!C14+NºAsuntos!E14)/NºAsuntos!G14," - ")</f>
        <v>2.0145472262824526</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0.96449704142011838</v>
      </c>
      <c r="C16" s="499">
        <f>IF(ISNUMBER(NºAsuntos!I16/NºAsuntos!G16),NºAsuntos!I16/NºAsuntos!G16," - ")</f>
        <v>0.41682226371476838</v>
      </c>
      <c r="D16" s="500">
        <f>IF(ISNUMBER('Resol  Asuntos'!D16/NºAsuntos!G16),'Resol  Asuntos'!D16/NºAsuntos!G16," - ")</f>
        <v>0.13221303458700098</v>
      </c>
      <c r="E16" s="501">
        <f>IF(ISNUMBER((NºAsuntos!C16+NºAsuntos!E16)/NºAsuntos!G16),(NºAsuntos!C16+NºAsuntos!E16)/NºAsuntos!G16," - ")</f>
        <v>1.4087312172134792</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1.1313035204567079</v>
      </c>
      <c r="C18" s="499">
        <f>IF(ISNUMBER(NºAsuntos!I18/NºAsuntos!G18),NºAsuntos!I18/NºAsuntos!G18," - ")</f>
        <v>0.18755256518082422</v>
      </c>
      <c r="D18" s="500">
        <f>IF(ISNUMBER('Resol  Asuntos'!D18/NºAsuntos!G18),'Resol  Asuntos'!D18/NºAsuntos!G18," - ")</f>
        <v>5.8031959629941128E-2</v>
      </c>
      <c r="E18" s="501">
        <f>IF(ISNUMBER((NºAsuntos!C18+NºAsuntos!E18)/NºAsuntos!G18),(NºAsuntos!C18+NºAsuntos!E18)/NºAsuntos!G18," - ")</f>
        <v>1.1867115222876368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1.0100430416068866</v>
      </c>
      <c r="C21" s="499">
        <f>IF(ISNUMBER(NºAsuntos!I21/NºAsuntos!G21),NºAsuntos!I21/NºAsuntos!G21," - ")</f>
        <v>1.3103693181818181</v>
      </c>
      <c r="D21" s="500">
        <f>IF(ISNUMBER('Resol  Asuntos'!D21/NºAsuntos!G21),'Resol  Asuntos'!D21/NºAsuntos!G21," - ")</f>
        <v>0.89488636363636365</v>
      </c>
      <c r="E21" s="501">
        <f>IF(ISNUMBER((NºAsuntos!C21+NºAsuntos!E21)/NºAsuntos!G21),(NºAsuntos!C21+NºAsuntos!E21)/NºAsuntos!G21," - ")</f>
        <v>2.0951704545454546</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0.98142634339997159</v>
      </c>
      <c r="C23" s="1159">
        <f>IF(ISNUMBER(NºAsuntos!I23/NºAsuntos!G23),NºAsuntos!I23/NºAsuntos!G23," - ")</f>
        <v>0.48800924588269284</v>
      </c>
      <c r="D23" s="1162">
        <f>IF(ISNUMBER('Resol  Asuntos'!D23/NºAsuntos!G23),'Resol  Asuntos'!D23/NºAsuntos!G23," - ")</f>
        <v>0.20340941924299336</v>
      </c>
      <c r="E23" s="1161">
        <f>IF(ISNUMBER((NºAsuntos!C23+NºAsuntos!E23)/NºAsuntos!G23),(NºAsuntos!C23+NºAsuntos!E23)/NºAsuntos!G23," - ")</f>
        <v>1.4594770297601849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0.99820143884892087</v>
      </c>
      <c r="C28" s="499">
        <f>IF(ISNUMBER(NºAsuntos!I28/NºAsuntos!G28),NºAsuntos!I28/NºAsuntos!G28," - ")</f>
        <v>1.0875675675675676</v>
      </c>
      <c r="D28" s="500">
        <f>IF(ISNUMBER('Resol  Asuntos'!D28/NºAsuntos!G28),'Resol  Asuntos'!D28/NºAsuntos!G28," - ")</f>
        <v>0.2965765765765766</v>
      </c>
      <c r="E28" s="501">
        <f>IF(ISNUMBER((NºAsuntos!C28+NºAsuntos!E28)/NºAsuntos!G28),(NºAsuntos!C28+NºAsuntos!E28)/NºAsuntos!G28," - ")</f>
        <v>2.0987387387387386</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0.99820143884892087</v>
      </c>
      <c r="C30" s="1159">
        <f>IF(ISNUMBER(NºAsuntos!I30/NºAsuntos!G30),NºAsuntos!I30/NºAsuntos!G30," - ")</f>
        <v>1.0875675675675676</v>
      </c>
      <c r="D30" s="1162">
        <f>IF(ISNUMBER('Resol  Asuntos'!D30/NºAsuntos!G30),'Resol  Asuntos'!D30/NºAsuntos!G30," - ")</f>
        <v>0.2965765765765766</v>
      </c>
      <c r="E30" s="1161">
        <f>IF(ISNUMBER((NºAsuntos!C30+NºAsuntos!E30)/NºAsuntos!G30),(NºAsuntos!C30+NºAsuntos!E30)/NºAsuntos!G30," - ")</f>
        <v>2.0987387387387386</v>
      </c>
      <c r="G30" s="524"/>
    </row>
    <row r="31" spans="1:7" ht="15.75" customHeight="1" thickTop="1" thickBot="1">
      <c r="A31" s="1086" t="str">
        <f>Datos!A31</f>
        <v>TOTAL JURISDICCIONES</v>
      </c>
      <c r="B31" s="1101">
        <f>IF(ISNUMBER(NºAsuntos!G31/NºAsuntos!E31),NºAsuntos!G31/NºAsuntos!E31," - ")</f>
        <v>0.96487513234103506</v>
      </c>
      <c r="C31" s="1102">
        <f>IF(ISNUMBER(NºAsuntos!I31/NºAsuntos!G31),NºAsuntos!I31/NºAsuntos!G31," - ")</f>
        <v>0.78322468211450336</v>
      </c>
      <c r="D31" s="1103">
        <f>IF(ISNUMBER('Resol  Asuntos'!D31/NºAsuntos!G31),'Resol  Asuntos'!D31/NºAsuntos!G31," - ")</f>
        <v>0.23042664429097012</v>
      </c>
      <c r="E31" s="1104">
        <f>IF(ISNUMBER((NºAsuntos!C31+NºAsuntos!E31)/NºAsuntos!G31),(NºAsuntos!C31+NºAsuntos!E31)/NºAsuntos!G31," - ")</f>
        <v>1.7740915252049312</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80FCBAUmGNnJD3kcNGMUCA+dNhuy251m38cYTN3FhLhtRKsXdQ2qBe/B1nKnztMXy4gX7CGA7pit7qexh3mI0w==" saltValue="zaRTIV/vGjS7KHLoXLLM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SABADELL</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459</v>
      </c>
      <c r="B5" s="297"/>
      <c r="C5" s="1645" t="str">
        <f>"Año:  " &amp;Criterios!B$5 &amp; "          Trimestre   " &amp;Criterios!D$5 &amp; " al " &amp;Criterios!D$6</f>
        <v>Año:  2021          Trimestre   1 al 4</v>
      </c>
      <c r="D5" s="1602" t="s">
        <v>485</v>
      </c>
      <c r="E5" s="1602" t="s">
        <v>407</v>
      </c>
      <c r="F5" s="1647" t="s">
        <v>521</v>
      </c>
      <c r="G5" s="1650" t="s">
        <v>169</v>
      </c>
      <c r="H5" s="1609" t="s">
        <v>217</v>
      </c>
      <c r="I5" s="1609" t="s">
        <v>221</v>
      </c>
      <c r="J5" s="1609" t="s">
        <v>222</v>
      </c>
      <c r="K5" s="1609" t="s">
        <v>522</v>
      </c>
      <c r="L5" s="1609" t="s">
        <v>771</v>
      </c>
      <c r="M5" s="1609" t="s">
        <v>413</v>
      </c>
      <c r="N5" s="1609" t="s">
        <v>486</v>
      </c>
      <c r="O5" s="1609" t="s">
        <v>524</v>
      </c>
      <c r="P5" s="1609" t="s">
        <v>220</v>
      </c>
      <c r="Q5" s="1609" t="s">
        <v>56</v>
      </c>
      <c r="R5" s="1621" t="s">
        <v>223</v>
      </c>
      <c r="S5" s="1624" t="s">
        <v>226</v>
      </c>
      <c r="T5" s="1615" t="s">
        <v>227</v>
      </c>
      <c r="U5" s="1612" t="s">
        <v>228</v>
      </c>
      <c r="V5" s="1636" t="s">
        <v>411</v>
      </c>
      <c r="W5" s="1653" t="s">
        <v>229</v>
      </c>
      <c r="X5" s="1656" t="s">
        <v>230</v>
      </c>
      <c r="Y5" s="1656" t="s">
        <v>231</v>
      </c>
      <c r="Z5" s="1639" t="s">
        <v>232</v>
      </c>
      <c r="AA5" s="1627" t="s">
        <v>233</v>
      </c>
      <c r="AB5" s="1609" t="s">
        <v>234</v>
      </c>
      <c r="AC5" s="1609" t="s">
        <v>235</v>
      </c>
      <c r="AD5" s="1659" t="s">
        <v>236</v>
      </c>
      <c r="AE5" s="1602" t="s">
        <v>239</v>
      </c>
      <c r="AF5" s="1630" t="s">
        <v>237</v>
      </c>
      <c r="AG5" s="1609" t="s">
        <v>238</v>
      </c>
      <c r="AH5" s="1621" t="s">
        <v>257</v>
      </c>
      <c r="AI5" s="1627" t="s">
        <v>240</v>
      </c>
      <c r="AJ5" s="1633" t="s">
        <v>316</v>
      </c>
      <c r="AK5" s="1618" t="s">
        <v>317</v>
      </c>
      <c r="AL5" s="1602" t="s">
        <v>318</v>
      </c>
      <c r="AM5" s="1602" t="s">
        <v>467</v>
      </c>
      <c r="AN5" s="1602" t="s">
        <v>319</v>
      </c>
      <c r="AO5" s="1602" t="s">
        <v>320</v>
      </c>
      <c r="AP5" s="1602" t="s">
        <v>380</v>
      </c>
      <c r="AQ5" s="1602" t="s">
        <v>241</v>
      </c>
      <c r="AR5" s="1602" t="s">
        <v>242</v>
      </c>
      <c r="AS5" s="1602" t="s">
        <v>497</v>
      </c>
      <c r="AT5" s="1602" t="s">
        <v>369</v>
      </c>
      <c r="AU5" s="1602" t="s">
        <v>370</v>
      </c>
      <c r="AV5" s="1602" t="s">
        <v>430</v>
      </c>
      <c r="AW5" s="1602" t="s">
        <v>412</v>
      </c>
      <c r="AX5" s="1602" t="s">
        <v>1001</v>
      </c>
      <c r="AY5" s="1602" t="s">
        <v>1002</v>
      </c>
      <c r="BE5" s="1607" t="s">
        <v>258</v>
      </c>
      <c r="BF5" s="1608"/>
      <c r="BG5" s="1607" t="s">
        <v>259</v>
      </c>
      <c r="BH5" s="1608"/>
      <c r="BI5" s="1607" t="s">
        <v>260</v>
      </c>
      <c r="BJ5" s="1608"/>
      <c r="BK5" s="1607" t="s">
        <v>261</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218</v>
      </c>
      <c r="BF6" s="1605" t="s">
        <v>219</v>
      </c>
      <c r="BG6" s="1605" t="s">
        <v>218</v>
      </c>
      <c r="BH6" s="1605" t="s">
        <v>219</v>
      </c>
      <c r="BI6" s="1605" t="s">
        <v>218</v>
      </c>
      <c r="BJ6" s="1605" t="s">
        <v>219</v>
      </c>
      <c r="BK6" s="1605" t="s">
        <v>218</v>
      </c>
      <c r="BL6" s="1605" t="s">
        <v>219</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8</v>
      </c>
      <c r="B9" s="190" t="s">
        <v>315</v>
      </c>
      <c r="C9" s="173" t="str">
        <f>Datos!A9</f>
        <v xml:space="preserve">Jdos. 1ª Instancia   </v>
      </c>
      <c r="D9" s="173"/>
      <c r="E9" s="290">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2712</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3192</v>
      </c>
      <c r="Y9" s="374">
        <f>SUM(W9:X9)</f>
        <v>3192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14921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2407</v>
      </c>
      <c r="AJ9" s="243" t="str">
        <f>IF(ISNUMBER(Datos!BW9),Datos!BW9," - ")</f>
        <v xml:space="preserve"> - </v>
      </c>
      <c r="AK9" s="242" t="str">
        <f>IF(ISNUMBER(Datos!BX9),Datos!BX9," - ")</f>
        <v xml:space="preserve"> - </v>
      </c>
      <c r="AL9" s="266">
        <f>IF(ISNUMBER(NºAsuntos!G9/NºAsuntos!E9),NºAsuntos!G9/NºAsuntos!E9," - ")</f>
        <v>0.92172067586319484</v>
      </c>
      <c r="AM9" s="284">
        <f>IF(ISNUMBER(((NºAsuntos!I9/NºAsuntos!G9)*11)/factor_trimestre),((NºAsuntos!I9/NºAsuntos!G9)*11)/factor_trimestre," - ")</f>
        <v>12.862557562876372</v>
      </c>
      <c r="AN9" s="267">
        <f>IF(ISNUMBER('Resol  Asuntos'!D9/NºAsuntos!G9),'Resol  Asuntos'!D9/NºAsuntos!G9," - ")</f>
        <v>0.21315975912150195</v>
      </c>
      <c r="AO9" s="268">
        <f>IF(ISNUMBER((NºAsuntos!C9+NºAsuntos!E9)/NºAsuntos!G9),(NºAsuntos!C9+NºAsuntos!E9)/NºAsuntos!G9," - ")</f>
        <v>2.1694119730782857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315</v>
      </c>
      <c r="C10" s="7" t="str">
        <f>Datos!A10</f>
        <v>Jdos. Violencia contra la mujer</v>
      </c>
      <c r="D10" s="7"/>
      <c r="E10" s="290">
        <f>IF(ISNUMBER(Datos!AQ10),Datos!AQ10," - ")</f>
        <v>1</v>
      </c>
      <c r="F10" s="239">
        <f>IF(ISNUMBER(Datos!L10+Datos!K10-Datos!J10-K10),Datos!L10+Datos!K10-Datos!J10-K10," - ")</f>
        <v>112</v>
      </c>
      <c r="G10" s="373">
        <f>IF(ISNUMBER(Datos!I10),Datos!I10," - ")</f>
        <v>112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195</v>
      </c>
      <c r="X10" s="240">
        <f>IF(ISNUMBER(Datos!Q10),Datos!Q10," - ")</f>
        <v>63</v>
      </c>
      <c r="Y10" s="374">
        <f t="shared" ref="Y10:Y13" si="0">SUM(W10:X10)</f>
        <v>258</v>
      </c>
      <c r="Z10" s="375" t="str">
        <f>IF(ISNUMBER(Datos!CC10),Datos!CC10," - ")</f>
        <v xml:space="preserve"> - </v>
      </c>
      <c r="AA10" s="372">
        <f>IF(ISNUMBER(Datos!L10),Datos!L10,"-")</f>
        <v>119</v>
      </c>
      <c r="AB10" s="374">
        <f>IF(ISNUMBER(Datos!R10),Datos!R10," - ")</f>
        <v>127</v>
      </c>
      <c r="AC10" s="374">
        <f t="shared" ref="AC10:AC13" si="1">IF(ISNUMBER(AA10+AB10),AA10+AB10," - ")</f>
        <v>246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70</v>
      </c>
      <c r="AJ10" s="245" t="str">
        <f>IF(ISNUMBER(Datos!BW10),Datos!BW10," - ")</f>
        <v xml:space="preserve"> - </v>
      </c>
      <c r="AK10" s="246" t="str">
        <f>IF(ISNUMBER(Datos!BX10),Datos!BX10," - ")</f>
        <v xml:space="preserve"> - </v>
      </c>
      <c r="AL10" s="266">
        <f>IF(ISNUMBER(NºAsuntos!G10/NºAsuntos!E10),NºAsuntos!G10/NºAsuntos!E10," - ")</f>
        <v>0.96534653465346532</v>
      </c>
      <c r="AM10" s="284">
        <f>IF(ISNUMBER(((NºAsuntos!I10/NºAsuntos!G10)*11)/factor_trimestre),((NºAsuntos!I10/NºAsuntos!G10)*11)/factor_trimestre," - ")</f>
        <v>6.7128205128205138</v>
      </c>
      <c r="AN10" s="267">
        <f>IF(ISNUMBER('Resol  Asuntos'!D10/NºAsuntos!G10),'Resol  Asuntos'!D10/NºAsuntos!G10," - ")</f>
        <v>0.35897435897435898</v>
      </c>
      <c r="AO10" s="268">
        <f>IF(ISNUMBER((NºAsuntos!C10+NºAsuntos!E10)/NºAsuntos!G10),(NºAsuntos!C10+NºAsuntos!E10)/NºAsuntos!G10," - ")</f>
        <v>1.6102564102564103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2</v>
      </c>
      <c r="B11" s="300" t="s">
        <v>315</v>
      </c>
      <c r="C11" s="7" t="str">
        <f>Datos!A11</f>
        <v xml:space="preserve">Jdos. Familia                                   </v>
      </c>
      <c r="D11" s="7"/>
      <c r="E11" s="290">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235</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510</v>
      </c>
      <c r="Y11" s="374">
        <f t="shared" si="0"/>
        <v>510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1024</v>
      </c>
      <c r="AJ11" s="245" t="str">
        <f>IF(ISNUMBER(Datos!BW11),Datos!BW11," - ")</f>
        <v xml:space="preserve"> - </v>
      </c>
      <c r="AK11" s="246" t="str">
        <f>IF(ISNUMBER(Datos!BX11),Datos!BX11," - ")</f>
        <v xml:space="preserve"> - </v>
      </c>
      <c r="AL11" s="266">
        <f>IF(ISNUMBER(NºAsuntos!G11/NºAsuntos!E11),NºAsuntos!G11/NºAsuntos!E11," - ")</f>
        <v>1.0378378378378379</v>
      </c>
      <c r="AM11" s="284">
        <f>IF(ISNUMBER(((NºAsuntos!I11/NºAsuntos!G11)*11)/factor_trimestre),((NºAsuntos!I11/NºAsuntos!G11)*11)/factor_trimestre," - ")</f>
        <v>4.4763888888888888</v>
      </c>
      <c r="AN11" s="267">
        <f>IF(ISNUMBER('Resol  Asuntos'!D11/NºAsuntos!G11),'Resol  Asuntos'!D11/NºAsuntos!G11," - ")</f>
        <v>0.35555555555555557</v>
      </c>
      <c r="AO11" s="268">
        <f>IF(ISNUMBER((NºAsuntos!C11+NºAsuntos!E11)/NºAsuntos!G11),(NºAsuntos!C11+NºAsuntos!E11)/NºAsuntos!G11," - ")</f>
        <v>1.4347222222222222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315</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315</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11</v>
      </c>
      <c r="F14" s="1165">
        <f t="shared" si="5"/>
        <v>112</v>
      </c>
      <c r="G14" s="1166">
        <f t="shared" si="5"/>
        <v>112</v>
      </c>
      <c r="H14" s="1165">
        <f t="shared" si="5"/>
        <v>0</v>
      </c>
      <c r="I14" s="1167">
        <f t="shared" si="5"/>
        <v>0</v>
      </c>
      <c r="J14" s="1167">
        <f t="shared" si="5"/>
        <v>0</v>
      </c>
      <c r="K14" s="1167">
        <f t="shared" si="5"/>
        <v>0</v>
      </c>
      <c r="L14" s="1167">
        <f t="shared" si="5"/>
        <v>2991</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195</v>
      </c>
      <c r="X14" s="1167">
        <f t="shared" si="6"/>
        <v>3765</v>
      </c>
      <c r="Y14" s="1168">
        <f t="shared" si="6"/>
        <v>3960</v>
      </c>
      <c r="Z14" s="1168">
        <f t="shared" si="6"/>
        <v>0</v>
      </c>
      <c r="AA14" s="1168">
        <f t="shared" si="6"/>
        <v>119</v>
      </c>
      <c r="AB14" s="1168">
        <f t="shared" si="6"/>
        <v>16031</v>
      </c>
      <c r="AC14" s="1168">
        <f t="shared" si="6"/>
        <v>246</v>
      </c>
      <c r="AD14" s="1168">
        <f t="shared" si="6"/>
        <v>0</v>
      </c>
      <c r="AE14" s="1172">
        <f t="shared" si="6"/>
        <v>0</v>
      </c>
      <c r="AF14" s="1165">
        <f t="shared" si="6"/>
        <v>0</v>
      </c>
      <c r="AG14" s="1173">
        <f t="shared" si="6"/>
        <v>0</v>
      </c>
      <c r="AH14" s="1170">
        <f t="shared" si="6"/>
        <v>0</v>
      </c>
      <c r="AI14" s="1165">
        <f t="shared" si="6"/>
        <v>3501</v>
      </c>
      <c r="AJ14" s="1167">
        <f t="shared" si="6"/>
        <v>0</v>
      </c>
      <c r="AK14" s="1170">
        <f>SUBTOTAL(9,AK9:AK13)</f>
        <v>0</v>
      </c>
      <c r="AL14" s="1174">
        <f>IF(ISNUMBER(NºAsuntos!G14/NºAsuntos!E14),NºAsuntos!G14/NºAsuntos!E14," - ")</f>
        <v>0.94345941686367218</v>
      </c>
      <c r="AM14" s="1174">
        <f>IF(ISNUMBER(((NºAsuntos!I14/NºAsuntos!G14)*11)/factor_trimestre),((NºAsuntos!I14/NºAsuntos!G14)*11)/factor_trimestre," - ")</f>
        <v>11.09800236653442</v>
      </c>
      <c r="AN14" s="1175">
        <f>IF(ISNUMBER('Resol  Asuntos'!D14/NºAsuntos!G14),'Resol  Asuntos'!D14/NºAsuntos!G14," - ")</f>
        <v>0.24368344121946126</v>
      </c>
      <c r="AO14" s="1176">
        <f>IF(ISNUMBER((NºAsuntos!C14+NºAsuntos!E14)/NºAsuntos!G14),(NºAsuntos!C14+NºAsuntos!E14)/NºAsuntos!G14," - ")</f>
        <v>2.0145472262824526</v>
      </c>
      <c r="AP14" s="1177" t="str">
        <f t="shared" si="2"/>
        <v xml:space="preserve"> - </v>
      </c>
      <c r="AQ14" s="1177">
        <f>IF(ISNUMBER((H14-W14+K14)/(F14)),(H14-W14+K14)/(F14)," - ")</f>
        <v>-1.7410714285714286</v>
      </c>
      <c r="AR14" s="1178">
        <f>IF(ISNUMBER((Datos!P14-Datos!Q14)/(Datos!R14-Datos!P14+Datos!Q14)),(Datos!P14-Datos!Q14)/(Datos!R14-Datos!P14+Datos!Q14)," - ")</f>
        <v>-4.6057720916393929E-2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5</v>
      </c>
      <c r="B16" s="300" t="s">
        <v>505</v>
      </c>
      <c r="C16" s="173" t="str">
        <f>Datos!A16</f>
        <v xml:space="preserve">Jdos. Instrucción                               </v>
      </c>
      <c r="D16" s="173"/>
      <c r="E16" s="290">
        <f>IF(ISNUMBER(Datos!AQ16),Datos!AQ16," - ")</f>
        <v>5</v>
      </c>
      <c r="F16" s="239">
        <f>IF(ISNUMBER(AA16+W16-Datos!J16-K16),AA16+W16-Datos!J16-K16," - ")</f>
        <v>4274</v>
      </c>
      <c r="G16" s="373">
        <f>IF(ISNUMBER(IF(D_I="SI",Datos!I16,Datos!I16+Datos!AC16)),IF(D_I="SI",Datos!I16,Datos!I16+Datos!AC16)," - ")</f>
        <v>4183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302</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11247</v>
      </c>
      <c r="X16" s="240">
        <f>IF(ISNUMBER(Datos!Q16),Datos!Q16," - ")</f>
        <v>234</v>
      </c>
      <c r="Y16" s="374">
        <f>SUM(W16)</f>
        <v>11247</v>
      </c>
      <c r="Z16" s="375" t="str">
        <f>IF(ISNUMBER(Datos!CC16),Datos!CC16," - ")</f>
        <v xml:space="preserve"> - </v>
      </c>
      <c r="AA16" s="372">
        <f>IF(ISNUMBER(IF(D_I="SI",Datos!L16,Datos!L16+Datos!AF16)),IF(D_I="SI",Datos!L16,Datos!L16+Datos!AF16)," - ")</f>
        <v>4688</v>
      </c>
      <c r="AB16" s="374">
        <f>IF(ISNUMBER(Datos!R16),Datos!R16," - ")</f>
        <v>447</v>
      </c>
      <c r="AC16" s="374">
        <f t="shared" ref="AC16:AC22" si="8">IF(ISNUMBER(AA16+AB16),AA16+AB16," - ")</f>
        <v>5135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1487</v>
      </c>
      <c r="AJ16" s="245" t="str">
        <f>IF(ISNUMBER(Datos!BW16),Datos!BW16," - ")</f>
        <v xml:space="preserve"> - </v>
      </c>
      <c r="AK16" s="246" t="str">
        <f>IF(ISNUMBER(Datos!BX16),Datos!BX16," - ")</f>
        <v xml:space="preserve"> - </v>
      </c>
      <c r="AL16" s="266">
        <f>IF(ISNUMBER(NºAsuntos!G16/NºAsuntos!E16),NºAsuntos!G16/NºAsuntos!E16," - ")</f>
        <v>0.96449704142011838</v>
      </c>
      <c r="AM16" s="284">
        <f>IF(ISNUMBER(((NºAsuntos!I16/NºAsuntos!G16)*11)/factor_trimestre),((NºAsuntos!I16/NºAsuntos!G16)*11)/factor_trimestre," - ")</f>
        <v>4.5850449008624521</v>
      </c>
      <c r="AN16" s="267">
        <f>IF(ISNUMBER('Resol  Asuntos'!D16/NºAsuntos!G16),'Resol  Asuntos'!D16/NºAsuntos!G16," - ")</f>
        <v>0.13221303458700098</v>
      </c>
      <c r="AO16" s="268">
        <f>IF(ISNUMBER((NºAsuntos!C16+NºAsuntos!E16)/NºAsuntos!G16),(NºAsuntos!C16+NºAsuntos!E16)/NºAsuntos!G16," - ")</f>
        <v>1.4087312172134792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360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1189</v>
      </c>
      <c r="X18" s="240">
        <f>IF(ISNUMBER(Datos!Q18),Datos!Q18," - ")</f>
        <v>5</v>
      </c>
      <c r="Y18" s="374">
        <f t="shared" si="9"/>
        <v>1194</v>
      </c>
      <c r="Z18" s="375" t="str">
        <f>IF(ISNUMBER(Datos!CC18),Datos!CC18," - ")</f>
        <v xml:space="preserve"> - </v>
      </c>
      <c r="AA18" s="372">
        <f>IF(ISNUMBER(Datos!L18),Datos!L18,"-")</f>
        <v>223</v>
      </c>
      <c r="AB18" s="374">
        <f>IF(ISNUMBER(Datos!R18),Datos!R18," - ")</f>
        <v>1</v>
      </c>
      <c r="AC18" s="374">
        <f t="shared" si="8"/>
        <v>224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69</v>
      </c>
      <c r="AJ18" s="245" t="str">
        <f>IF(ISNUMBER(Datos!BW18),Datos!BW18," - ")</f>
        <v xml:space="preserve"> - </v>
      </c>
      <c r="AK18" s="246" t="str">
        <f>IF(ISNUMBER(Datos!BX18),Datos!BX18," - ")</f>
        <v xml:space="preserve"> - </v>
      </c>
      <c r="AL18" s="266">
        <f>IF(ISNUMBER(NºAsuntos!G18/NºAsuntos!E18),NºAsuntos!G18/NºAsuntos!E18," - ")</f>
        <v>1.1313035204567079</v>
      </c>
      <c r="AM18" s="284">
        <f>IF(ISNUMBER(((NºAsuntos!I18/NºAsuntos!G18)*11)/factor_trimestre),((NºAsuntos!I18/NºAsuntos!G18)*11)/factor_trimestre," - ")</f>
        <v>2.0630782169890662</v>
      </c>
      <c r="AN18" s="267">
        <f>IF(ISNUMBER('Resol  Asuntos'!D18/NºAsuntos!G18),'Resol  Asuntos'!D18/NºAsuntos!G18," - ")</f>
        <v>5.8031959629941128E-2</v>
      </c>
      <c r="AO18" s="268">
        <f>IF(ISNUMBER((NºAsuntos!C18+NºAsuntos!E18)/NºAsuntos!G18),(NºAsuntos!C18+NºAsuntos!E18)/NºAsuntos!G18," - ")</f>
        <v>1.1867115222876368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4</v>
      </c>
      <c r="B21" s="300" t="s">
        <v>505</v>
      </c>
      <c r="C21" s="7" t="str">
        <f>Datos!A21</f>
        <v xml:space="preserve">Jdos. de lo Penal                               </v>
      </c>
      <c r="D21" s="7"/>
      <c r="E21" s="290">
        <f>IF(ISNUMBER(Datos!AQ21),Datos!AQ21," - ")</f>
        <v>4</v>
      </c>
      <c r="F21" s="239">
        <f>IF(ISNUMBER(Datos!L21+Datos!K21-Datos!J21-K21),Datos!L21+Datos!K21-Datos!J21-K21," - ")</f>
        <v>1859</v>
      </c>
      <c r="G21" s="373">
        <f>IF(ISNUMBER(Datos!I21),Datos!I21," - ")</f>
        <v>1556</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1854</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1408</v>
      </c>
      <c r="X21" s="240">
        <f>IF(ISNUMBER(Datos!Q21),Datos!Q21," - ")</f>
        <v>2628</v>
      </c>
      <c r="Y21" s="374">
        <f t="shared" si="9"/>
        <v>4036</v>
      </c>
      <c r="Z21" s="375" t="str">
        <f>IF(ISNUMBER(Datos!CC21),Datos!CC21," - ")</f>
        <v xml:space="preserve"> - </v>
      </c>
      <c r="AA21" s="372">
        <f>IF(ISNUMBER(Datos!L21),Datos!L21,"-")</f>
        <v>1845</v>
      </c>
      <c r="AB21" s="374">
        <f>IF(ISNUMBER(Datos!R21),Datos!R21," - ")</f>
        <v>4245</v>
      </c>
      <c r="AC21" s="374">
        <f t="shared" si="8"/>
        <v>6090</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1260</v>
      </c>
      <c r="AJ21" s="245" t="str">
        <f>IF(ISNUMBER(Datos!BW21),Datos!BW21," - ")</f>
        <v xml:space="preserve"> - </v>
      </c>
      <c r="AK21" s="246" t="str">
        <f>IF(ISNUMBER(Datos!BX21),Datos!BX21," - ")</f>
        <v xml:space="preserve"> - </v>
      </c>
      <c r="AL21" s="266">
        <f>IF(ISNUMBER(NºAsuntos!G21/NºAsuntos!E21),NºAsuntos!G21/NºAsuntos!E21," - ")</f>
        <v>1.0100430416068866</v>
      </c>
      <c r="AM21" s="284">
        <f>IF(ISNUMBER(((NºAsuntos!I21/NºAsuntos!G21)*11)/factor_trimestre),((NºAsuntos!I21/NºAsuntos!G21)*11)/factor_trimestre," - ")</f>
        <v>14.4140625</v>
      </c>
      <c r="AN21" s="267">
        <f>IF(ISNUMBER('Resol  Asuntos'!D21/NºAsuntos!G21),'Resol  Asuntos'!D21/NºAsuntos!G21," - ")</f>
        <v>0.89488636363636365</v>
      </c>
      <c r="AO21" s="268">
        <f>IF(ISNUMBER((NºAsuntos!C21+NºAsuntos!E21)/NºAsuntos!G21),(NºAsuntos!C21+NºAsuntos!E21)/NºAsuntos!G21," - ")</f>
        <v>2.0951704545454546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10</v>
      </c>
      <c r="F23" s="1165">
        <f>SUBTOTAL(9,F15:F22)</f>
        <v>6133</v>
      </c>
      <c r="G23" s="1166">
        <f>SUBTOTAL(9,G16:G22)</f>
        <v>6099</v>
      </c>
      <c r="H23" s="1165">
        <f t="shared" ref="H23:O23" si="13">SUBTOTAL(9,H15:H22)</f>
        <v>0</v>
      </c>
      <c r="I23" s="1167">
        <f t="shared" si="13"/>
        <v>0</v>
      </c>
      <c r="J23" s="1167">
        <f t="shared" si="13"/>
        <v>0</v>
      </c>
      <c r="K23" s="1167">
        <f t="shared" si="13"/>
        <v>0</v>
      </c>
      <c r="L23" s="1167">
        <f t="shared" si="13"/>
        <v>2158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13844</v>
      </c>
      <c r="X23" s="1167">
        <f t="shared" si="14"/>
        <v>2867</v>
      </c>
      <c r="Y23" s="1168">
        <f t="shared" si="14"/>
        <v>16477</v>
      </c>
      <c r="Z23" s="1168">
        <f t="shared" si="14"/>
        <v>0</v>
      </c>
      <c r="AA23" s="1168">
        <f t="shared" si="14"/>
        <v>6756</v>
      </c>
      <c r="AB23" s="1168">
        <f t="shared" si="14"/>
        <v>4693</v>
      </c>
      <c r="AC23" s="1168">
        <f t="shared" si="14"/>
        <v>11449</v>
      </c>
      <c r="AD23" s="1168">
        <f t="shared" si="14"/>
        <v>0</v>
      </c>
      <c r="AE23" s="1172">
        <f t="shared" si="14"/>
        <v>0</v>
      </c>
      <c r="AF23" s="1165">
        <f t="shared" si="14"/>
        <v>0</v>
      </c>
      <c r="AG23" s="1173">
        <f t="shared" si="14"/>
        <v>0</v>
      </c>
      <c r="AH23" s="1170">
        <f t="shared" si="14"/>
        <v>0</v>
      </c>
      <c r="AI23" s="1165">
        <f t="shared" si="14"/>
        <v>2816</v>
      </c>
      <c r="AJ23" s="1167">
        <f t="shared" si="14"/>
        <v>0</v>
      </c>
      <c r="AK23" s="1170">
        <f t="shared" si="14"/>
        <v>0</v>
      </c>
      <c r="AL23" s="1174">
        <f>IF(ISNUMBER(NºAsuntos!G23/NºAsuntos!E23),NºAsuntos!G23/NºAsuntos!E23," - ")</f>
        <v>0.98142634339997159</v>
      </c>
      <c r="AM23" s="1174">
        <f>IF(ISNUMBER(((NºAsuntos!I23/NºAsuntos!G23)*11)/factor_trimestre),((NºAsuntos!I23/NºAsuntos!G23)*11)/factor_trimestre," - ")</f>
        <v>5.3681017047096216</v>
      </c>
      <c r="AN23" s="1175">
        <f>IF(ISNUMBER('Resol  Asuntos'!D23/NºAsuntos!G23),'Resol  Asuntos'!D23/NºAsuntos!G23," - ")</f>
        <v>0.20340941924299336</v>
      </c>
      <c r="AO23" s="1176">
        <f>IF(ISNUMBER((NºAsuntos!C23+NºAsuntos!E23)/NºAsuntos!G23),(NºAsuntos!C23+NºAsuntos!E23)/NºAsuntos!G23," - ")</f>
        <v>1.4594770297601849</v>
      </c>
      <c r="AP23" s="1177" t="str">
        <f t="shared" si="2"/>
        <v xml:space="preserve"> - </v>
      </c>
      <c r="AQ23" s="1177">
        <f>IF(ISNUMBER((H23-W23+K23)/(F23)),(H23-W23+K23)/(F23)," - ")</f>
        <v>-2.2572965922060981</v>
      </c>
      <c r="AR23" s="1178">
        <f>IF(ISNUMBER((Datos!P23-Datos!Q23)/(Datos!R23-Datos!P23+Datos!Q23)),(Datos!P23-Datos!Q23)/(Datos!R23-Datos!P23+Datos!Q23)," - ")</f>
        <v>-0.1312476860422066</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3</v>
      </c>
      <c r="B28" s="300" t="s">
        <v>507</v>
      </c>
      <c r="C28" s="7" t="str">
        <f>Datos!A28</f>
        <v xml:space="preserve">Jdos. de lo Social                              </v>
      </c>
      <c r="D28" s="7"/>
      <c r="E28" s="290">
        <f>IF(ISNUMBER(Datos!AQ28),Datos!AQ28," - ")</f>
        <v>3</v>
      </c>
      <c r="F28" s="239">
        <f>IF(ISNUMBER(Datos!L28+Datos!K28-Datos!J28-K28),Datos!L28+Datos!K28-Datos!J28-K28," - ")</f>
        <v>3013</v>
      </c>
      <c r="G28" s="373">
        <f>IF(ISNUMBER(Datos!I28),Datos!I28," - ")</f>
        <v>3044</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145</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2775</v>
      </c>
      <c r="X28" s="240">
        <f>IF(ISNUMBER(Datos!Q28),Datos!Q28," - ")</f>
        <v>220</v>
      </c>
      <c r="Y28" s="374">
        <f>SUM(W28:X28)</f>
        <v>2995</v>
      </c>
      <c r="Z28" s="375" t="str">
        <f>IF(ISNUMBER(Datos!CC28),Datos!CC28," - ")</f>
        <v xml:space="preserve"> - </v>
      </c>
      <c r="AA28" s="372">
        <f>IF(ISNUMBER(Datos!L28),Datos!L28,"-")</f>
        <v>3018</v>
      </c>
      <c r="AB28" s="374">
        <f>IF(ISNUMBER(Datos!R28),Datos!R28," - ")</f>
        <v>123</v>
      </c>
      <c r="AC28" s="374">
        <f>IF(ISNUMBER(AA28+AB28),AA28+AB28," - ")</f>
        <v>3141</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823</v>
      </c>
      <c r="AJ28" s="245" t="str">
        <f>IF(ISNUMBER(Datos!BW28),Datos!BW28," - ")</f>
        <v xml:space="preserve"> - </v>
      </c>
      <c r="AK28" s="246" t="str">
        <f>IF(ISNUMBER(Datos!BX28),Datos!BX28," - ")</f>
        <v xml:space="preserve"> - </v>
      </c>
      <c r="AL28" s="266">
        <f>IF(ISNUMBER(NºAsuntos!G28/NºAsuntos!E28),NºAsuntos!G28/NºAsuntos!E28," - ")</f>
        <v>0.99820143884892087</v>
      </c>
      <c r="AM28" s="284">
        <f>IF(ISNUMBER(((NºAsuntos!I28/NºAsuntos!G28)*11)/factor_trimestre),((NºAsuntos!I28/NºAsuntos!G28)*11)/factor_trimestre," - ")</f>
        <v>11.963243243243243</v>
      </c>
      <c r="AN28" s="267">
        <f>IF(ISNUMBER('Resol  Asuntos'!D28/NºAsuntos!G28),'Resol  Asuntos'!D28/NºAsuntos!G28," - ")</f>
        <v>0.2965765765765766</v>
      </c>
      <c r="AO28" s="268">
        <f>IF(ISNUMBER((NºAsuntos!C28+NºAsuntos!E28)/NºAsuntos!G28),(NºAsuntos!C28+NºAsuntos!E28)/NºAsuntos!G28," - ")</f>
        <v>2.0987387387387386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3</v>
      </c>
      <c r="F30" s="1165">
        <f>SUBTOTAL(9,F28:F29)</f>
        <v>3013</v>
      </c>
      <c r="G30" s="1165">
        <f>SUBTOTAL(9,G28:G29)</f>
        <v>3044</v>
      </c>
      <c r="H30" s="1165">
        <f>SUBTOTAL(9,H28:H29)</f>
        <v>0</v>
      </c>
      <c r="I30" s="1170">
        <f>SUBTOTAL(9,I28:I29)</f>
        <v>0</v>
      </c>
      <c r="J30" s="1170">
        <f>SUBTOTAL(9,J28:J29)</f>
        <v>0</v>
      </c>
      <c r="K30" s="1170">
        <f>SUBTOTAL(9,K23:K29)</f>
        <v>0</v>
      </c>
      <c r="L30" s="1170">
        <f>SUBTOTAL(9,L28:L29)</f>
        <v>145</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2775</v>
      </c>
      <c r="X30" s="1167">
        <f t="shared" si="19"/>
        <v>220</v>
      </c>
      <c r="Y30" s="1168">
        <f t="shared" si="19"/>
        <v>2995</v>
      </c>
      <c r="Z30" s="1168">
        <f t="shared" si="19"/>
        <v>0</v>
      </c>
      <c r="AA30" s="1168">
        <f t="shared" si="19"/>
        <v>3018</v>
      </c>
      <c r="AB30" s="1168">
        <f t="shared" si="19"/>
        <v>123</v>
      </c>
      <c r="AC30" s="1168">
        <f t="shared" si="19"/>
        <v>3141</v>
      </c>
      <c r="AD30" s="1168">
        <f t="shared" si="19"/>
        <v>0</v>
      </c>
      <c r="AE30" s="1172">
        <f t="shared" si="19"/>
        <v>0</v>
      </c>
      <c r="AF30" s="1165">
        <f t="shared" si="19"/>
        <v>0</v>
      </c>
      <c r="AG30" s="1173">
        <f t="shared" si="19"/>
        <v>0</v>
      </c>
      <c r="AH30" s="1170">
        <f t="shared" si="19"/>
        <v>0</v>
      </c>
      <c r="AI30" s="1165">
        <f t="shared" si="19"/>
        <v>823</v>
      </c>
      <c r="AJ30" s="1167">
        <f t="shared" si="19"/>
        <v>0</v>
      </c>
      <c r="AK30" s="1170">
        <f t="shared" si="19"/>
        <v>0</v>
      </c>
      <c r="AL30" s="1174">
        <f>IF(ISNUMBER(NºAsuntos!G30/NºAsuntos!E30),NºAsuntos!G30/NºAsuntos!E30," - ")</f>
        <v>0.99820143884892087</v>
      </c>
      <c r="AM30" s="1174">
        <f>IF(ISNUMBER(((NºAsuntos!I30/NºAsuntos!G30)*11)/factor_trimestre),((NºAsuntos!I30/NºAsuntos!G30)*11)/factor_trimestre," - ")</f>
        <v>11.963243243243243</v>
      </c>
      <c r="AN30" s="1175">
        <f>IF(ISNUMBER('Resol  Asuntos'!D30/NºAsuntos!G30),'Resol  Asuntos'!D30/NºAsuntos!G30," - ")</f>
        <v>0.2965765765765766</v>
      </c>
      <c r="AO30" s="1176">
        <f>IF(ISNUMBER((NºAsuntos!C30+NºAsuntos!E30)/NºAsuntos!G30),(NºAsuntos!C30+NºAsuntos!E30)/NºAsuntos!G30," - ")</f>
        <v>2.0987387387387386</v>
      </c>
      <c r="AP30" s="1177" t="str">
        <f t="shared" si="2"/>
        <v xml:space="preserve"> - </v>
      </c>
      <c r="AQ30" s="1177">
        <f t="shared" si="18"/>
        <v>-0.9210089611682708</v>
      </c>
      <c r="AR30" s="1178">
        <f>IF(ISNUMBER((Datos!P30-Datos!Q30)/(Datos!R30-Datos!P30+Datos!Q30)),(Datos!P30-Datos!Q30)/(Datos!R30-Datos!P30+Datos!Q30)," - ")</f>
        <v>-0.37878787878787878</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24</v>
      </c>
      <c r="F31" s="1120">
        <f t="shared" si="20"/>
        <v>9258</v>
      </c>
      <c r="G31" s="1121">
        <f t="shared" si="20"/>
        <v>9255</v>
      </c>
      <c r="H31" s="1120">
        <f t="shared" si="20"/>
        <v>0</v>
      </c>
      <c r="I31" s="1122">
        <f t="shared" si="20"/>
        <v>0</v>
      </c>
      <c r="J31" s="1122">
        <f t="shared" si="20"/>
        <v>0</v>
      </c>
      <c r="K31" s="1183">
        <f t="shared" si="20"/>
        <v>0</v>
      </c>
      <c r="L31" s="1122">
        <f t="shared" si="20"/>
        <v>5294</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16814</v>
      </c>
      <c r="X31" s="1121">
        <f t="shared" si="21"/>
        <v>6852</v>
      </c>
      <c r="Y31" s="1128">
        <f t="shared" si="21"/>
        <v>23432</v>
      </c>
      <c r="Z31" s="1128">
        <f t="shared" si="21"/>
        <v>0</v>
      </c>
      <c r="AA31" s="1128">
        <f t="shared" si="21"/>
        <v>9893</v>
      </c>
      <c r="AB31" s="1128">
        <f t="shared" si="21"/>
        <v>20847</v>
      </c>
      <c r="AC31" s="1128">
        <f t="shared" si="21"/>
        <v>14836</v>
      </c>
      <c r="AD31" s="1128">
        <f t="shared" si="21"/>
        <v>0</v>
      </c>
      <c r="AE31" s="1130">
        <f t="shared" si="21"/>
        <v>0</v>
      </c>
      <c r="AF31" s="1131">
        <f t="shared" si="21"/>
        <v>0</v>
      </c>
      <c r="AG31" s="1132">
        <f t="shared" si="21"/>
        <v>0</v>
      </c>
      <c r="AH31" s="1130">
        <f t="shared" si="21"/>
        <v>0</v>
      </c>
      <c r="AI31" s="1120">
        <f t="shared" si="21"/>
        <v>7140</v>
      </c>
      <c r="AJ31" s="1120">
        <f t="shared" si="21"/>
        <v>0</v>
      </c>
      <c r="AK31" s="1130">
        <f t="shared" si="21"/>
        <v>0</v>
      </c>
      <c r="AL31" s="1186">
        <f>IF(ISNUMBER(NºAsuntos!G31/NºAsuntos!E31),NºAsuntos!G31/NºAsuntos!E31," - ")</f>
        <v>0.96487513234103506</v>
      </c>
      <c r="AM31" s="1187">
        <f>IF(ISNUMBER(((NºAsuntos!I31/NºAsuntos!G31)*11)/factor_trimestre),((NºAsuntos!I31/NºAsuntos!G31)*11)/factor_trimestre," - ")</f>
        <v>8.6154715032595366</v>
      </c>
      <c r="AN31" s="1187">
        <f>IF(ISNUMBER('Resol  Asuntos'!D31/NºAsuntos!G31),'Resol  Asuntos'!D31/NºAsuntos!G31," - ")</f>
        <v>0.23042664429097012</v>
      </c>
      <c r="AO31" s="1188">
        <f>IF(ISNUMBER((NºAsuntos!C31+NºAsuntos!E31)/NºAsuntos!G31),(NºAsuntos!C31+NºAsuntos!E31)/NºAsuntos!G31," - ")</f>
        <v>1.7740915252049312</v>
      </c>
      <c r="AP31" s="1189" t="str">
        <f t="shared" si="2"/>
        <v xml:space="preserve"> - </v>
      </c>
      <c r="AQ31" s="1190">
        <f>IF(OR(ISNUMBER(FIND("01",Criterios!A8,1)),ISNUMBER(FIND("02",Criterios!A8,1)),ISNUMBER(FIND("03",Criterios!A8,1)),ISNUMBER(FIND("04",Criterios!A8,1))),(I31-W31+K31)/(F31-K31),(H31-W31+K31)/(F31-K31))</f>
        <v>-1.8161589976236767</v>
      </c>
      <c r="AR31" s="1191">
        <f>IF(ISNUMBER((Datos!P31-Datos!Q31)/(Datos!R31-Datos!P31+Datos!Q31)),(Datos!P31-Datos!Q31)/(Datos!R31-Datos!P31+Datos!Q31)," - ")</f>
        <v>-6.9538049542512831E-2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335</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2056.6666666666665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336</v>
      </c>
      <c r="D33" s="385"/>
      <c r="E33" s="308">
        <f>IF(ISNUMBER(STDEV(E8:E30)),STDEV(E8:E30),"-")</f>
        <v>3.5647724105728389</v>
      </c>
      <c r="F33" s="276">
        <f>IF(ISNUMBER(STDEV(F8:F30)),STDEV(F8:F30),"-")</f>
        <v>2225.2701280647125</v>
      </c>
      <c r="G33" s="277">
        <f>IF(ISNUMBER(STDEV(G8:G30)),STDEV(G8:G30),"-")</f>
        <v>2171.8104774588414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5140.2295209239219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1168.5090344692949</v>
      </c>
      <c r="AJ33" s="276">
        <f t="shared" si="24"/>
        <v>0</v>
      </c>
      <c r="AK33" s="278">
        <f t="shared" si="24"/>
        <v>0</v>
      </c>
      <c r="AL33" s="273">
        <f t="shared" si="24"/>
        <v>5.8386071593786483E-2</v>
      </c>
      <c r="AM33" s="274">
        <f t="shared" si="24"/>
        <v>4.3547316317623928</v>
      </c>
      <c r="AN33" s="274">
        <f t="shared" si="24"/>
        <v>0.22777657907618187</v>
      </c>
      <c r="AO33" s="275">
        <f t="shared" si="24"/>
        <v>0.37189852594799072</v>
      </c>
      <c r="AP33" s="317" t="str">
        <f t="shared" si="24"/>
        <v>-</v>
      </c>
      <c r="AQ33" s="318">
        <f t="shared" si="24"/>
        <v>0.6738762872216344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333</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334</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8+cKJrbKA4KbiHaP47i13UqzBAwLWy85vgReLI3/N2Nhu4Rk6117XfO5VvLhzHrBiPD+TkF9XgW0sIF6fAqLHw==" saltValue="8m3dxZTWxG6hR5U3o8EGx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SABADELL</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348</v>
      </c>
      <c r="O5" s="175"/>
      <c r="P5" s="175"/>
      <c r="Q5" s="184" t="s">
        <v>349</v>
      </c>
      <c r="R5" s="184"/>
      <c r="S5" s="182"/>
      <c r="T5" s="182"/>
    </row>
    <row r="6" spans="2:20" ht="12.75" customHeight="1">
      <c r="B6" s="298"/>
      <c r="C6" s="1646"/>
      <c r="D6" s="1634"/>
      <c r="E6" s="1676"/>
      <c r="F6" s="1673"/>
      <c r="G6" s="1670"/>
      <c r="H6" s="1667"/>
      <c r="I6" s="1631"/>
      <c r="J6" s="1660"/>
      <c r="K6" s="1622"/>
      <c r="M6" s="1662" t="s">
        <v>364</v>
      </c>
      <c r="N6" s="1662" t="s">
        <v>345</v>
      </c>
      <c r="O6" s="1662" t="s">
        <v>346</v>
      </c>
      <c r="P6" s="1662" t="s">
        <v>347</v>
      </c>
      <c r="Q6" s="1662" t="s">
        <v>364</v>
      </c>
      <c r="R6" s="1662" t="s">
        <v>345</v>
      </c>
      <c r="S6" s="1662" t="s">
        <v>346</v>
      </c>
      <c r="T6" s="1662" t="s">
        <v>347</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0.45</v>
      </c>
      <c r="I9" s="396">
        <f>IF(ISNUMBER((Tasas!C9-Datos!BE9)/Datos!BE9),(Tasas!C9-Datos!BE9)/Datos!BE9," - ")</f>
        <v>-0.1920916697140663</v>
      </c>
      <c r="J9" s="395">
        <f>IF(ISNUMBER((Tasas!D9-Datos!BF9)/Datos!BF9),(Tasas!D9-Datos!BF9)/Datos!BF9," - ")</f>
        <v>-0.49719968722413488</v>
      </c>
      <c r="K9" s="397">
        <f>IF(ISNUMBER((Tasas!E9-Datos!BG9)/Datos!BG9),(Tasas!E9-Datos!BG9)/Datos!BG9," - ")</f>
        <v>-0.11318027325271152</v>
      </c>
      <c r="M9" t="e">
        <f>IF(Monitorios="SI",Datos!CE9,0)</f>
        <v>#REF!</v>
      </c>
      <c r="N9" t="e">
        <f>IF(Monitorios="SI",Datos!CF9,0)</f>
        <v>#REF!</v>
      </c>
      <c r="O9" t="e">
        <f>IF(Monitorios="SI",Datos!CG9,0)</f>
        <v>#REF!</v>
      </c>
      <c r="P9" t="e">
        <f>IF(Monitorios="SI",Datos!CH9,0)</f>
        <v>#REF!</v>
      </c>
      <c r="Q9">
        <f>IF(J_V="SI",0,Datos!AG9)</f>
        <v>286</v>
      </c>
      <c r="R9">
        <f>IF(J_V="SI",0,Datos!AH9)</f>
        <v>503</v>
      </c>
      <c r="S9">
        <f>IF(J_V="SI",0,Datos!AI9)</f>
        <v>477</v>
      </c>
      <c r="T9">
        <f>IF(J_V="SI",0,Datos!AJ9)</f>
        <v>312</v>
      </c>
    </row>
    <row r="10" spans="2:20" ht="14.25">
      <c r="B10" s="300" t="s">
        <v>315</v>
      </c>
      <c r="C10" s="7" t="str">
        <f>Datos!A10</f>
        <v>Jdos. Violencia contra la mujer</v>
      </c>
      <c r="D10" s="398">
        <f>IF(ISNUMBER((Datos!I10-Datos!S10)/Datos!S10),(Datos!I10-Datos!S10)/Datos!S10," - ")</f>
        <v>0.62318840579710144</v>
      </c>
      <c r="E10" s="394">
        <f>IF(ISNUMBER((Datos!J10-Datos!T10)/Datos!T10),(Datos!J10-Datos!T10)/Datos!T10," - ")</f>
        <v>0.39310344827586208</v>
      </c>
      <c r="F10" s="394">
        <f>IF(ISNUMBER((Datos!K10-Datos!U10)/Datos!U10),(Datos!K10-Datos!U10)/Datos!U10," - ")</f>
        <v>0.91176470588235292</v>
      </c>
      <c r="G10" s="395">
        <f>IF(ISNUMBER((Datos!L10-Datos!V10)/Datos!V10),(Datos!L10-Datos!V10)/Datos!V10," - ")</f>
        <v>6.25E-2</v>
      </c>
      <c r="H10" s="244">
        <f>IF(ISNUMBER((Datos!M10-Datos!W10)/Datos!W10),(Datos!M10-Datos!W10)/Datos!W10," - ")</f>
        <v>1.1875</v>
      </c>
      <c r="I10" s="396">
        <f>IF(ISNUMBER((Tasas!C10-Datos!BE10)/Datos!BE10),(Tasas!C10-Datos!BE10)/Datos!BE10," - ")</f>
        <v>-0.44423076923076921</v>
      </c>
      <c r="J10" s="395">
        <f>IF(ISNUMBER((Tasas!D10-Datos!BF10)/Datos!BF10),(Tasas!D10-Datos!BF10)/Datos!BF10," - ")</f>
        <v>0.14423076923076925</v>
      </c>
      <c r="K10" s="397">
        <f>IF(ISNUMBER((Tasas!E10-Datos!BG10)/Datos!BG10),(Tasas!E10-Datos!BG10)/Datos!BG10," - ")</f>
        <v>-0.2324946081955428</v>
      </c>
    </row>
    <row r="11" spans="2:20" ht="14.25">
      <c r="B11" s="300" t="s">
        <v>315</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0.77777777777777779</v>
      </c>
      <c r="I11" s="396">
        <f>IF(ISNUMBER((Tasas!C11-Datos!BE11)/Datos!BE11),(Tasas!C11-Datos!BE11)/Datos!BE11," - ")</f>
        <v>-0.18881007942356501</v>
      </c>
      <c r="J11" s="395">
        <f>IF(ISNUMBER((Tasas!D11-Datos!BF11)/Datos!BF11),(Tasas!D11-Datos!BF11)/Datos!BF11," - ")</f>
        <v>-0.20316671269446743</v>
      </c>
      <c r="K11" s="397">
        <f>IF(ISNUMBER((Tasas!E11-Datos!BG11)/Datos!BG11),(Tasas!E11-Datos!BG11)/Datos!BG11," - ")</f>
        <v>-9.4630905790935981E-3</v>
      </c>
      <c r="M11" t="e">
        <f>IF(Monitorios="SI",Datos!CE11,0)</f>
        <v>#REF!</v>
      </c>
      <c r="N11" t="e">
        <f>IF(Monitorios="SI",Datos!CF11,0)</f>
        <v>#REF!</v>
      </c>
      <c r="O11" t="e">
        <f>IF(Monitorios="SI",Datos!CG11,0)</f>
        <v>#REF!</v>
      </c>
      <c r="P11" t="e">
        <f>IF(Monitorios="SI",Datos!CH11,0)</f>
        <v>#REF!</v>
      </c>
      <c r="Q11">
        <f>IF(J_V="SI",0,Datos!AG11)</f>
        <v>22</v>
      </c>
      <c r="R11">
        <f>IF(J_V="SI",0,Datos!AH11)</f>
        <v>616</v>
      </c>
      <c r="S11">
        <f>IF(J_V="SI",0,Datos!AI11)</f>
        <v>609</v>
      </c>
      <c r="T11">
        <f>IF(J_V="SI",0,Datos!AJ11)</f>
        <v>29</v>
      </c>
    </row>
    <row r="12" spans="2:20" ht="14.25">
      <c r="B12" s="300" t="s">
        <v>315</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0.54365079365079361</v>
      </c>
      <c r="I14" s="403">
        <f>IF(ISNUMBER((Tasas!C14-Datos!BE14)/Datos!BE14),(Tasas!C14-Datos!BE14)/Datos!BE14," - ")</f>
        <v>-0.1710980633936974</v>
      </c>
      <c r="J14" s="401">
        <f>IF(ISNUMBER((Tasas!D14-Datos!BF14)/Datos!BF14),(Tasas!D14-Datos!BF14)/Datos!BF14," - ")</f>
        <v>-0.43103501540387701</v>
      </c>
      <c r="K14" s="404">
        <f>IF(ISNUMBER((Tasas!E14-Datos!BG14)/Datos!BG14),(Tasas!E14-Datos!BG14)/Datos!BG14," - ")</f>
        <v>-8.5786623207785878E-2</v>
      </c>
      <c r="M14" t="e">
        <f>IF(Monitorios="SI",Datos!CE14,0)</f>
        <v>#REF!</v>
      </c>
      <c r="N14" t="e">
        <f>IF(Monitorios="SI",Datos!CF14,0)</f>
        <v>#REF!</v>
      </c>
      <c r="O14" t="e">
        <f>IF(Monitorios="SI",Datos!CG14,0)</f>
        <v>#REF!</v>
      </c>
      <c r="P14" t="e">
        <f>IF(Monitorios="SI",Datos!CH14,0)</f>
        <v>#REF!</v>
      </c>
      <c r="Q14">
        <f>IF(J_V="SI",0,Datos!AG14)</f>
        <v>308</v>
      </c>
      <c r="R14">
        <f>IF(J_V="SI",0,Datos!AH14)</f>
        <v>1119</v>
      </c>
      <c r="S14">
        <f>IF(J_V="SI",0,Datos!AI14)</f>
        <v>1086</v>
      </c>
      <c r="T14">
        <f>IF(J_V="SI",0,Datos!AJ14)</f>
        <v>341</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f>IF(ISNUMBER(
   IF(D_I="SI",(Datos!I16-Datos!S16)/Datos!S16,(Datos!I16+Datos!AC16-(Datos!S16+Datos!AK16))/(Datos!S16+Datos!AK16))
     ),IF(D_I="SI",(Datos!I16-Datos!S16)/Datos!S16,(Datos!I16+Datos!AC16-(Datos!S16+Datos!AK16))/(Datos!S16+Datos!AK16))," - ")</f>
        <v>0.26604116222760288</v>
      </c>
      <c r="E16" s="394">
        <f>IF(ISNUMBER(
   IF(D_I="SI",(Datos!J16-Datos!T16)/Datos!T16,(Datos!J16+Datos!AD16-(Datos!T16+Datos!AL16))/(Datos!T16+Datos!AL16))
     ),IF(D_I="SI",(Datos!J16-Datos!T16)/Datos!T16,(Datos!J16+Datos!AD16-(Datos!T16+Datos!AL16))/(Datos!T16+Datos!AL16))," - ")</f>
        <v>7.5936519653072521E-2</v>
      </c>
      <c r="F16" s="394">
        <f>IF(ISNUMBER(
   IF(D_I="SI",(Datos!K16-Datos!U16)/Datos!U16,(Datos!K16+Datos!AE16-(Datos!U16+Datos!AM16))/(Datos!U16+Datos!AM16))
     ),IF(D_I="SI",(Datos!K16-Datos!U16)/Datos!U16,(Datos!K16+Datos!AE16-(Datos!U16+Datos!AM16))/(Datos!U16+Datos!AM16))," - ")</f>
        <v>0.1485906862745098</v>
      </c>
      <c r="G16" s="395">
        <f>IF(ISNUMBER(
   IF(D_I="SI",(Datos!L16-Datos!V16)/Datos!V16,(Datos!L16+Datos!AF16-(Datos!V16+Datos!AN16))/(Datos!V16+Datos!AN16))
     ),IF(D_I="SI",(Datos!L16-Datos!V16)/Datos!V16,(Datos!L16+Datos!AF16-(Datos!V16+Datos!AN16))/(Datos!V16+Datos!AN16))," - ")</f>
        <v>0.12072675113554865</v>
      </c>
      <c r="H16" s="244">
        <f>IF(ISNUMBER((Datos!M16-Datos!W16)/Datos!W16),(Datos!M16-Datos!W16)/Datos!W16," - ")</f>
        <v>0.52356557377049184</v>
      </c>
      <c r="I16" s="396">
        <f>IF(ISNUMBER((Tasas!C16-Datos!BE16)/Datos!BE16),(Tasas!C16-Datos!BE16)/Datos!BE16," - ")</f>
        <v>-2.4259238275158457E-2</v>
      </c>
      <c r="J16" s="395">
        <f>IF(ISNUMBER((Tasas!D16-Datos!BF16)/Datos!BF16),(Tasas!D16-Datos!BF16)/Datos!BF16," - ")</f>
        <v>0.32646519946302616</v>
      </c>
      <c r="K16" s="397">
        <f>IF(ISNUMBER((Tasas!E16-Datos!BG16)/Datos!BG16),(Tasas!E16-Datos!BG16)/Datos!BG16," - ")</f>
        <v>-2.4586615828426878E-2</v>
      </c>
    </row>
    <row r="17" spans="2:20" ht="14.25">
      <c r="B17" s="300" t="s">
        <v>505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0.44</v>
      </c>
      <c r="E18" s="394">
        <f>IF(ISNUMBER(
   IF(D_I="SI",(Datos!J18-Datos!T18)/Datos!T18,(Datos!J18+Datos!AD18-(Datos!T18+Datos!AL18))/(Datos!T18+Datos!AL18))
     ),IF(D_I="SI",(Datos!J18-Datos!T18)/Datos!T18,(Datos!J18+Datos!AD18-(Datos!T18+Datos!AL18))/(Datos!T18+Datos!AL18))," - ")</f>
        <v>8.0164439876670088E-2</v>
      </c>
      <c r="F18" s="394">
        <f>IF(ISNUMBER(
   IF(D_I="SI",(Datos!K18-Datos!U18)/Datos!U18,(Datos!K18+Datos!AE18-(Datos!U18+Datos!AM18))/(Datos!U18+Datos!AM18))
     ),IF(D_I="SI",(Datos!K18-Datos!U18)/Datos!U18,(Datos!K18+Datos!AE18-(Datos!U18+Datos!AM18))/(Datos!U18+Datos!AM18))," - ")</f>
        <v>0.37775202780996525</v>
      </c>
      <c r="G18" s="395">
        <f>IF(ISNUMBER(
   IF(D_I="SI",(Datos!L18-Datos!V18)/Datos!V18,(Datos!L18+Datos!AF18-(Datos!V18+Datos!AN18))/(Datos!V18+Datos!AN18))
     ),IF(D_I="SI",(Datos!L18-Datos!V18)/Datos!V18,(Datos!L18+Datos!AF18-(Datos!V18+Datos!AN18))/(Datos!V18+Datos!AN18))," - ")</f>
        <v>-0.38055555555555554</v>
      </c>
      <c r="H18" s="244">
        <f>IF(ISNUMBER((Datos!M18-Datos!W18)/Datos!W18),(Datos!M18-Datos!W18)/Datos!W18," - ")</f>
        <v>0.35294117647058826</v>
      </c>
      <c r="I18" s="396">
        <f>IF(ISNUMBER((Tasas!C18-Datos!BE18)/Datos!BE18),(Tasas!C18-Datos!BE18)/Datos!BE18," - ")</f>
        <v>-0.55039482291374642</v>
      </c>
      <c r="J18" s="395">
        <f>IF(ISNUMBER((Tasas!D18-Datos!BF18)/Datos!BF18),(Tasas!D18-Datos!BF18)/Datos!BF18," - ")</f>
        <v>-1.8008212536486438E-2</v>
      </c>
      <c r="K18" s="397">
        <f>IF(ISNUMBER((Tasas!E18-Datos!BG18)/Datos!BG18),(Tasas!E18-Datos!BG18)/Datos!BG18," - ")</f>
        <v>-0.16260666906440674</v>
      </c>
    </row>
    <row r="19" spans="2:20" ht="14.25">
      <c r="B19" s="300" t="s">
        <v>505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505</v>
      </c>
      <c r="C21" s="7" t="str">
        <f>Datos!A21</f>
        <v xml:space="preserve">Jdos. de lo Penal                               </v>
      </c>
      <c r="D21" s="398">
        <f>IF(ISNUMBER((Datos!I21-Datos!S21)/Datos!S21),(Datos!I21-Datos!S21)/Datos!S21," - ")</f>
        <v>0.2043343653250774</v>
      </c>
      <c r="E21" s="394">
        <f>IF(ISNUMBER((Datos!J21-Datos!T21)/Datos!T21),(Datos!J21-Datos!T21)/Datos!T21," - ")</f>
        <v>0.1314935064935065</v>
      </c>
      <c r="F21" s="394">
        <f>IF(ISNUMBER((Datos!K21-Datos!U21)/Datos!U21),(Datos!K21-Datos!U21)/Datos!U21," - ")</f>
        <v>0.16846473029045644</v>
      </c>
      <c r="G21" s="395">
        <f>IF(ISNUMBER((Datos!L21-Datos!V21)/Datos!V21),(Datos!L21-Datos!V21)/Datos!V21," - ")</f>
        <v>0.18573264781491003</v>
      </c>
      <c r="H21" s="244">
        <f>IF(ISNUMBER((Datos!M21-Datos!W21)/Datos!W21),(Datos!M21-Datos!W21)/Datos!W21," - ")</f>
        <v>0.33192389006342493</v>
      </c>
      <c r="I21" s="396">
        <f>IF(ISNUMBER((Tasas!C21-Datos!BE21)/Datos!BE21),(Tasas!C21-Datos!BE21)/Datos!BE21," - ")</f>
        <v>1.477829589273184E-2</v>
      </c>
      <c r="J21" s="395">
        <f>IF(ISNUMBER((Tasas!D21-Datos!BF21)/Datos!BF21),(Tasas!D21-Datos!BF21)/Datos!BF21," - ")</f>
        <v>0.13989224966365563</v>
      </c>
      <c r="K21" s="397">
        <f>IF(ISNUMBER((Tasas!E21-Datos!BG21)/Datos!BG21),(Tasas!E21-Datos!BG21)/Datos!BG21," - ")</f>
        <v>2.6957120731879784E-4</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0.25856376392901365</v>
      </c>
      <c r="E23" s="400">
        <f>IF(ISNUMBER(
   IF(D_I="SI",(Datos!J23-Datos!T23)/Datos!T23,(Datos!J23+Datos!AD23-(Datos!T23+Datos!AL23))/(Datos!T23+Datos!AL23))
     ),IF(D_I="SI",(Datos!J23-Datos!T23)/Datos!T23,(Datos!J23+Datos!AD23-(Datos!T23+Datos!AL23))/(Datos!T23+Datos!AL23))," - ")</f>
        <v>8.149965498734954E-2</v>
      </c>
      <c r="F23" s="400">
        <f>IF(ISNUMBER(
   IF(D_I="SI",(Datos!K23-Datos!U23)/Datos!U23,(Datos!K23+Datos!AE23-(Datos!U23+Datos!AM23))/(Datos!U23+Datos!AM23))
     ),IF(D_I="SI",(Datos!K23-Datos!U23)/Datos!U23,(Datos!K23+Datos!AE23-(Datos!U23+Datos!AM23))/(Datos!U23+Datos!AM23))," - ")</f>
        <v>0.16728499156829679</v>
      </c>
      <c r="G23" s="401">
        <f>IF(ISNUMBER(
   IF(D_I="SI",(Datos!L23-Datos!V23)/Datos!V23,(Datos!L23+Datos!AF23-(Datos!V23+Datos!AN23))/(Datos!V23+Datos!AN23))
     ),IF(D_I="SI",(Datos!L23-Datos!V23)/Datos!V23,(Datos!L23+Datos!AF23-(Datos!V23+Datos!AN23))/(Datos!V23+Datos!AN23))," - ")</f>
        <v>0.10772257747171668</v>
      </c>
      <c r="H23" s="402">
        <f>IF(ISNUMBER((Datos!M23-Datos!W23)/Datos!W23),(Datos!M23-Datos!W23)/Datos!W23," - ")</f>
        <v>0.42726811961479982</v>
      </c>
      <c r="I23" s="403">
        <f>IF(ISNUMBER((Tasas!C23-Datos!BE23)/Datos!BE23),(Tasas!C23-Datos!BE23)/Datos!BE23," - ")</f>
        <v>-5.1026454145148788E-2</v>
      </c>
      <c r="J23" s="401">
        <f>IF(ISNUMBER((Tasas!D23-Datos!BF23)/Datos!BF23),(Tasas!D23-Datos!BF23)/Datos!BF23," - ")</f>
        <v>0.22272463873385767</v>
      </c>
      <c r="K23" s="404">
        <f>IF(ISNUMBER((Tasas!E23-Datos!BG23)/Datos!BG23),(Tasas!E23-Datos!BG23)/Datos!BG23," - ")</f>
        <v>-3.239993443144986E-2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0.43720491029272901</v>
      </c>
      <c r="E28" s="394">
        <f>IF(ISNUMBER((Datos!J28-Datos!T28)/Datos!T28),(Datos!J28-Datos!T28)/Datos!T28," - ")</f>
        <v>1.4228383801532287E-2</v>
      </c>
      <c r="F28" s="394">
        <f>IF(ISNUMBER((Datos!K28-Datos!U28)/Datos!U28),(Datos!K28-Datos!U28)/Datos!U28," - ")</f>
        <v>0.50488069414316705</v>
      </c>
      <c r="G28" s="395">
        <f>IF(ISNUMBER((Datos!L28-Datos!V28)/Datos!V28),(Datos!L28-Datos!V28)/Datos!V28," - ")</f>
        <v>-8.5413929040735869E-3</v>
      </c>
      <c r="H28" s="244">
        <f>IF(ISNUMBER((Datos!M28-Datos!W28)/Datos!W28),(Datos!M28-Datos!W28)/Datos!W28," - ")</f>
        <v>0.52407407407407403</v>
      </c>
      <c r="I28" s="396">
        <f>IF(ISNUMBER((Tasas!C28-Datos!BE28)/Datos!BE28),(Tasas!C28-Datos!BE28)/Datos!BE28," - ")</f>
        <v>-0.34117128955499521</v>
      </c>
      <c r="J28" s="395">
        <f>IF(ISNUMBER((Tasas!D28-Datos!BF28)/Datos!BF28),(Tasas!D28-Datos!BF28)/Datos!BF28," - ")</f>
        <v>1.2754087420754113E-2</v>
      </c>
      <c r="K28" s="397">
        <f>IF(ISNUMBER((Tasas!E28-Datos!BG28)/Datos!BG28),(Tasas!E28-Datos!BG28)/Datos!BG28," - ")</f>
        <v>-0.20352454533150149</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0.43720491029272901</v>
      </c>
      <c r="E30" s="1112">
        <f>IF(ISNUMBER((Datos!J30-Datos!T30)/Datos!T30),(Datos!J30-Datos!T30)/Datos!T30," - ")</f>
        <v>1.4228383801532287E-2</v>
      </c>
      <c r="F30" s="1112">
        <f>IF(ISNUMBER((Datos!K30-Datos!U30)/Datos!U30),(Datos!K30-Datos!U30)/Datos!U30," - ")</f>
        <v>0.50488069414316705</v>
      </c>
      <c r="G30" s="1113">
        <f>IF(ISNUMBER((Datos!L30-Datos!V30)/Datos!V30),(Datos!L30-Datos!V30)/Datos!V30," - ")</f>
        <v>-8.5413929040735869E-3</v>
      </c>
      <c r="H30" s="1114">
        <f>IF(ISNUMBER((Datos!M30-Datos!W30)/Datos!W30),(Datos!M30-Datos!W30)/Datos!W30," - ")</f>
        <v>0.52407407407407403</v>
      </c>
      <c r="I30" s="1115">
        <f>IF(ISNUMBER((Tasas!C30-Datos!BE30)/Datos!BE30),(Tasas!C30-Datos!BE30)/Datos!BE30," - ")</f>
        <v>-0.34117128955499521</v>
      </c>
      <c r="J30" s="1113">
        <f>IF(ISNUMBER((Tasas!D30-Datos!BF30)/Datos!BF30),(Tasas!D30-Datos!BF30)/Datos!BF30," - ")</f>
        <v>1.2754087420754113E-2</v>
      </c>
      <c r="K30" s="1116">
        <f>IF(ISNUMBER((Tasas!E30-Datos!BG30)/Datos!BG30),(Tasas!E30-Datos!BG30)/Datos!BG30," - ")</f>
        <v>-0.20352454533150149</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0.18773707456482203</v>
      </c>
      <c r="E31" s="410">
        <f>IF(ISNUMBER(
   IF(J_V="SI",(Datos!J31-Datos!T31)/Datos!T31,(Datos!J31+Datos!Z31-(Datos!T31+Datos!AH31))/(Datos!T31+Datos!AH31))
     ),IF(J_V="SI",(Datos!J31-Datos!T31)/Datos!T31,(Datos!J31+Datos!Z31-(Datos!T31+Datos!AH31))/(Datos!T31+Datos!AH31))," - ")</f>
        <v>0.13344862880739775</v>
      </c>
      <c r="F31" s="410">
        <f>IF(ISNUMBER(
   IF(J_V="SI",(Datos!K31-Datos!U31)/Datos!U31,(Datos!K31+Datos!AA31-(Datos!U31+Datos!AI31))/(Datos!U31+Datos!AI31))
     ),IF(J_V="SI",(Datos!K31-Datos!U31)/Datos!U31,(Datos!K31+Datos!AA31-(Datos!U31+Datos!AI31))/(Datos!U31+Datos!AI31))," - ")</f>
        <v>0.24082972929681243</v>
      </c>
      <c r="G31" s="411">
        <f>IF(ISNUMBER(
   IF(J_V="SI",(Datos!L31-Datos!V31)/Datos!V31,(Datos!L31+Datos!AB31-(Datos!V31+Datos!AJ31))/(Datos!V31+Datos!AJ31))
     ),IF(J_V="SI",(Datos!L31-Datos!V31)/Datos!V31,(Datos!L31+Datos!AB31-(Datos!V31+Datos!AJ31))/(Datos!V31+Datos!AJ31))," - ")</f>
        <v>6.1728935164931317E-2</v>
      </c>
      <c r="H31" s="412">
        <f>IF(ISNUMBER((Datos!M31-Datos!W31)/Datos!W31),(Datos!M31-Datos!W31)/Datos!W31," - ")</f>
        <v>0.49341142020497802</v>
      </c>
      <c r="I31" s="409">
        <f>IF(ISNUMBER((Tasas!C31-Datos!BE31)/Datos!BE31),(Tasas!C31-Datos!BE31)/Datos!BE31," - ")</f>
        <v>-0.14433954144004824</v>
      </c>
      <c r="J31" s="410">
        <f>IF(ISNUMBER((Tasas!D31-Datos!BF31)/Datos!BF31),(Tasas!D31-Datos!BF31)/Datos!BF31," - ")</f>
        <v>-0.21594029687503666</v>
      </c>
      <c r="K31" s="411">
        <f>IF(ISNUMBER((Tasas!E31-Datos!BG31)/Datos!BG31),(Tasas!E31-Datos!BG31)/Datos!BG31," - ")</f>
        <v>-6.884245728240905E-2</v>
      </c>
    </row>
    <row r="32" spans="2:20" ht="15.75" customHeight="1" thickTop="1" thickBot="1">
      <c r="B32" s="180"/>
      <c r="C32" s="1105" t="s">
        <v>335</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336</v>
      </c>
      <c r="D33" s="302">
        <f t="shared" ref="D33:K33" si="1">IF(ISNUMBER( STDEV(D8:D30)),STDEV(D8:D30)," - ")</f>
        <v>0.1459857812649332</v>
      </c>
      <c r="E33" s="303">
        <f t="shared" si="1"/>
        <v>0.13022784271059101</v>
      </c>
      <c r="F33" s="303">
        <f t="shared" si="1"/>
        <v>0.27547872563917414</v>
      </c>
      <c r="G33" s="304">
        <f t="shared" si="1"/>
        <v>0.18648407154711347</v>
      </c>
      <c r="H33" s="310">
        <f t="shared" si="1"/>
        <v>0.2516139823431443</v>
      </c>
      <c r="I33" s="302">
        <f t="shared" si="1"/>
        <v>0.18682582322255975</v>
      </c>
      <c r="J33" s="303">
        <f t="shared" si="1"/>
        <v>0.27142402867876342</v>
      </c>
      <c r="K33" s="304">
        <f t="shared" si="1"/>
        <v>8.9031699726301539E-2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C8dc5V5B9jlS0hflFaTTEDkaWfEJUC/o6i9bkx+YOAMgZwCdo+rotIu7JQ4pvwB6RkqjGwJfTM7WQCn36CmJQ==" saltValue="aY/vAW6IJKCB7gjQp03p8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